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95" windowWidth="20115" windowHeight="6375" tabRatio="757" activeTab="2"/>
  </bookViews>
  <sheets>
    <sheet name="Cronograma " sheetId="1" r:id="rId1"/>
    <sheet name="n DESONERADA" sheetId="2" r:id="rId2"/>
    <sheet name="n DESONERADA ORÇAMENTO" sheetId="3" r:id="rId3"/>
    <sheet name="DESONERADA" sheetId="4" r:id="rId4"/>
  </sheets>
  <externalReferences>
    <externalReference r:id="rId7"/>
  </externalReferences>
  <definedNames>
    <definedName name="EXTRACT" localSheetId="0">'Cronograma '!#REF!</definedName>
    <definedName name="_xlnm.Print_Area" localSheetId="0">'Cronograma '!$A$1:$G$21</definedName>
    <definedName name="_xlnm.Print_Area" localSheetId="3">'DESONERADA'!$A$1:$I$118</definedName>
    <definedName name="_xlnm.Print_Area" localSheetId="1">'n DESONERADA'!$A$1:$I$118</definedName>
    <definedName name="_xlnm.Print_Area" localSheetId="2">'n DESONERADA ORÇAMENTO'!$A$1:$I$36</definedName>
    <definedName name="BDI" localSheetId="0">#REF!</definedName>
    <definedName name="BDI" localSheetId="3">#REF!</definedName>
    <definedName name="BDI" localSheetId="1">#REF!</definedName>
    <definedName name="BDI" localSheetId="2">#REF!</definedName>
    <definedName name="BDI">#REF!</definedName>
    <definedName name="CRITERIA" localSheetId="0">'Cronograma '!#REF!</definedName>
    <definedName name="_xlnm.Print_Titles" localSheetId="0">'Cronograma '!$9:$11</definedName>
    <definedName name="_xlnm.Print_Titles" localSheetId="3">'DESONERADA'!$9:$11</definedName>
    <definedName name="_xlnm.Print_Titles" localSheetId="1">'n DESONERADA'!$9:$11</definedName>
    <definedName name="_xlnm.Print_Titles" localSheetId="2">'n DESONERADA ORÇAMENTO'!$9:$11</definedName>
  </definedNames>
  <calcPr fullCalcOnLoad="1"/>
</workbook>
</file>

<file path=xl/sharedStrings.xml><?xml version="1.0" encoding="utf-8"?>
<sst xmlns="http://schemas.openxmlformats.org/spreadsheetml/2006/main" count="766" uniqueCount="265">
  <si>
    <t>M2</t>
  </si>
  <si>
    <t>M3</t>
  </si>
  <si>
    <t>M</t>
  </si>
  <si>
    <t>KG</t>
  </si>
  <si>
    <t>H</t>
  </si>
  <si>
    <t>TOTAL</t>
  </si>
  <si>
    <t>1.1</t>
  </si>
  <si>
    <t>1.2</t>
  </si>
  <si>
    <t>1.3</t>
  </si>
  <si>
    <t>1.4</t>
  </si>
  <si>
    <t>UN</t>
  </si>
  <si>
    <t>4.1</t>
  </si>
  <si>
    <t>4.2</t>
  </si>
  <si>
    <t>1.0</t>
  </si>
  <si>
    <t>2.0</t>
  </si>
  <si>
    <t>3.0</t>
  </si>
  <si>
    <t>4.0</t>
  </si>
  <si>
    <t>PINTURA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</si>
  <si>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</si>
  <si>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</si>
  <si>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</si>
  <si>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 xml:space="preserve">MEMÓRIA DE CÁLCULO </t>
  </si>
  <si>
    <t>ITEM</t>
  </si>
  <si>
    <t>DISCRIMINAÇÃO</t>
  </si>
  <si>
    <t>QUANT.</t>
  </si>
  <si>
    <t>PREÇOS (R$)</t>
  </si>
  <si>
    <t xml:space="preserve">CRONOGRAMA  FÍSICO-FINANCEIRO </t>
  </si>
  <si>
    <t>DESCRIÇÃO</t>
  </si>
  <si>
    <t>PERÍODO</t>
  </si>
  <si>
    <t>30 DIAS</t>
  </si>
  <si>
    <t>TOTAL DOS</t>
  </si>
  <si>
    <t>FÍSICO</t>
  </si>
  <si>
    <t>FINANCEIRO</t>
  </si>
  <si>
    <t>SERVIÇOS</t>
  </si>
  <si>
    <t>TRANSPORTE E BOTA-FORA</t>
  </si>
  <si>
    <t>TOTAL DA OBRA POR MEDIÇÃO</t>
  </si>
  <si>
    <t>TOTAL ACUMULADO DA OBRA</t>
  </si>
  <si>
    <t>Desembolso parcial por medição %</t>
  </si>
  <si>
    <t>Desembolso máximo acumulado %</t>
  </si>
  <si>
    <t>GL</t>
  </si>
  <si>
    <t>00124</t>
  </si>
  <si>
    <t>ESTRUTURA DE CONCRETO ARMADO</t>
  </si>
  <si>
    <t>x</t>
  </si>
  <si>
    <t>2.1</t>
  </si>
  <si>
    <t>3.1</t>
  </si>
  <si>
    <t>TOTAL 3.0</t>
  </si>
  <si>
    <t>TOTAL 1.0</t>
  </si>
  <si>
    <t>TOTAL 4.0</t>
  </si>
  <si>
    <t>07425</t>
  </si>
  <si>
    <t>00840</t>
  </si>
  <si>
    <t>TOTAL GERAL=</t>
  </si>
  <si>
    <t>APROVAÇÃO: Eng. Eros dos Santos</t>
  </si>
  <si>
    <t>CÓDIGO</t>
  </si>
  <si>
    <t>20132</t>
  </si>
  <si>
    <t>MAO-DE-OBRA DE SERVENTE DA CONSTRUCAO CIVIL, INCLUSIVE ENCARGOS SOCIAIS DESONERADOS</t>
  </si>
  <si>
    <t>20060</t>
  </si>
  <si>
    <t>MAO-DE-OBRA DE ELETRICISTA DA CONSTRUCAOCIVIL, INCLUSIVE ENCARGOS SOCIAIS DESONERADOS</t>
  </si>
  <si>
    <t>20115</t>
  </si>
  <si>
    <t>MAO-DE-OBRA DE PEDREIRO, INCLUSIVE ENCARGOS SOCIAIS DESONERADOS</t>
  </si>
  <si>
    <t>17.017.0350-A</t>
  </si>
  <si>
    <t>PRIMER EPOXI,ISOCIANATO DE 2 COMPONENTES</t>
  </si>
  <si>
    <t>DETERGENTE NEUTRO P/LIMPEZA INDUSTRIAL,EM SACO DE 25KG</t>
  </si>
  <si>
    <t>ESMALTE SINTETICO ALQUIDICO ALTO BRILHO,BRILHANTE, ACETINADO OU FOSCO</t>
  </si>
  <si>
    <r>
      <t>Secretaria Municipal de Planejamento Urbano</t>
    </r>
    <r>
      <rPr>
        <sz val="20"/>
        <rFont val="Arial"/>
        <family val="2"/>
      </rPr>
      <t xml:space="preserve"> </t>
    </r>
  </si>
  <si>
    <t>UNIT s/ BDI</t>
  </si>
  <si>
    <t>UNITc/ BDI</t>
  </si>
  <si>
    <t>TOTAL s/ BDI</t>
  </si>
  <si>
    <t>TOTAL c/ BDI</t>
  </si>
  <si>
    <t>19.006.0030-C SOQUETE VIBRATORIO 78KG; 2,5CV (CP)</t>
  </si>
  <si>
    <t>19.006.0030-E SOQUETE VIBRATORIO 78KG; 2,5CV (CI)</t>
  </si>
  <si>
    <t>TUBO ACO GALVANIZADO COM COSTURA, CLASSE MEDIA, DN 2", E = *3,65* MM, PESO *5,10* KG/M (NBR 5580)</t>
  </si>
  <si>
    <t>SERVENTE COM ENCARGOS COMPLEMENTARES</t>
  </si>
  <si>
    <t>SERRALHEIRO COM ENCARGOS COMPLEMENTARES</t>
  </si>
  <si>
    <t>30694</t>
  </si>
  <si>
    <t>30693</t>
  </si>
  <si>
    <t>PINTURA INTERNA OU EXTERNA SOBRE FERRO GALVANIZADO OU ALUMINIO,USANDO FUNDO PARA GALVANIZADO,INCLUSIVE LIXAMENTO LEVE,LI MPEZA,DESENGORDURAMENTO E DUAS DEMAOS DE ACABAMENTO COM ESMALTE SINTETICO BRILHANTE OU ACETINADO (OBS.:3%-DESGASTE DE FERRAMENTAS E EPI).</t>
  </si>
  <si>
    <t>TOTAL 2.0</t>
  </si>
  <si>
    <t>01999</t>
  </si>
  <si>
    <t>MAO-DE-OBRA DE SERVENTE DA CONSTRUCAO CIVIL, INCLUSIVE ENCARGOS SOCIAIS</t>
  </si>
  <si>
    <t>01983</t>
  </si>
  <si>
    <t>MAO-DE-OBRA DE ELETRICISTA DE CONSTRUCAOCIVIL, INCLUSIVE ENCARGOS SOCIAIS</t>
  </si>
  <si>
    <t>01968</t>
  </si>
  <si>
    <t>MAO-DE-OBRA DE PEDREIRO, INCLUSIVE ENCARGOS SOCIAIS</t>
  </si>
  <si>
    <t>02176</t>
  </si>
  <si>
    <t>19.006.0030-4 SOQUETE VIBRATORIO 78KG; 2,5CV (CI)</t>
  </si>
  <si>
    <t>02175</t>
  </si>
  <si>
    <t>19.006.0030-2 SOQUETE VIBRATORIO 78KG; 2,5CV (CP)</t>
  </si>
  <si>
    <t>17.017.0350-0</t>
  </si>
  <si>
    <t>01966</t>
  </si>
  <si>
    <t>MAO-DE-OBRA DE PINTOR, INCLUSIVE ENCARGOS SOCIAIS</t>
  </si>
  <si>
    <t>1.5</t>
  </si>
  <si>
    <t>1.6</t>
  </si>
  <si>
    <t>2.2</t>
  </si>
  <si>
    <t>2.3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</si>
  <si>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</si>
  <si>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10962</t>
  </si>
  <si>
    <t>ALAMBRADO PARA QUADRA POLIESPORTIVA, ESTRUTURADO POR TUBOS DE ACO GALVANIZADO, COM COSTURA, DIN 2440, DIAMETRO 2", COM TELA DE ARAME GALVANIZADO, FIO 14 BWG E MALHA QUADRADA 5X5CM</t>
  </si>
  <si>
    <t>04.014.0095-0</t>
  </si>
  <si>
    <t>ARMADOR COM ENCARGOS COMPLEMENTARES</t>
  </si>
  <si>
    <t>AJUDANTE DE ARMADOR COM ENCARGOS COMPLEMENTARES</t>
  </si>
  <si>
    <t>ORÇAMENTO Nº</t>
  </si>
  <si>
    <t>20118</t>
  </si>
  <si>
    <t>MAO-DE-OBRA DE PINTOR, INCLUSIVE ENCARGOS SOCIAIS DESONERADOS</t>
  </si>
  <si>
    <t>SI00000088316</t>
  </si>
  <si>
    <t>SI00000088245</t>
  </si>
  <si>
    <t>SI00000088238</t>
  </si>
  <si>
    <t>0007696</t>
  </si>
  <si>
    <t>SI00000088315</t>
  </si>
  <si>
    <t>So00000088316</t>
  </si>
  <si>
    <t>So0074244/001</t>
  </si>
  <si>
    <t>So0007696</t>
  </si>
  <si>
    <t>So00000088315</t>
  </si>
  <si>
    <t>SI0074244/001</t>
  </si>
  <si>
    <t>0043131</t>
  </si>
  <si>
    <t>ARAME GALVANIZADO 6 BWG, D = 5,16 MM (0,157 KG/M), OU 8 BWG, D = 4,19 MM (0,101 KG/M), OU 10 BWG, D = 3,40 MM (0,0713 KG/M)</t>
  </si>
  <si>
    <t>0043130</t>
  </si>
  <si>
    <t>ARAME GALVANIZADO 12 BWG, D = 2,76 MM (0,048 KG/M) OU 14 BWG, D = 2,11 MM (0,026 KG/M)</t>
  </si>
  <si>
    <t>ALUGUEL CACAMBA DE ACO TIPO CONTAINER C/5M3 CAPAC.P/RETIRADA ENTULHO OBRA,INCL.CARREGA.,TRANSP.E DESCAR.LOCAIS AUTORIZ.</t>
  </si>
  <si>
    <t>So0043131</t>
  </si>
  <si>
    <t>So0043130</t>
  </si>
  <si>
    <t>So00000088245</t>
  </si>
  <si>
    <t>So00000088238</t>
  </si>
  <si>
    <t>06913</t>
  </si>
  <si>
    <t>MAO-DE-OBRA DE SERRALHEIRO DA CONSTRUCAOCIVIL, INCLUSIVE ENCARGOS SOCIAIS</t>
  </si>
  <si>
    <t>1.8</t>
  </si>
  <si>
    <t>20131</t>
  </si>
  <si>
    <t>MAO-DE-OBRA DE SERRALHEIRO DA CONSTRUCAOCIVIL, INCLUSIVE ENCARGOS SOCIAIS DESONERADOS</t>
  </si>
  <si>
    <t>01.001.0075-B</t>
  </si>
  <si>
    <t>PERFURACAO MANUAL DE SOLO,A TRADO ATE 6" (OBS.:3% - DESGASTE DE FERRAMENTAS E EPI).</t>
  </si>
  <si>
    <t>03.001.0001-B</t>
  </si>
  <si>
    <t>ESCAVACAO MANUAL DE VALA/CAVA EM MATERIAL DE 1¦ CATEGORIA (A(AREIA,ARGILA OU PICARRA),ATE 1,50M DE PROFUNDIDADE,EXCLUSIV E ESCORAMENTO E ESGOTAMENTO (OBS.:3% - DESGASTE DE FERRAMENTAS E EPI).</t>
  </si>
  <si>
    <t>03.011.0015-B</t>
  </si>
  <si>
    <t>REATERRO DE VALA/CAVA COM MATERIAL DE BOA QUALIDADE,UTILIZANDO VIBRO COMPACTADOR PORTATIL,EXCLUSIVE MATERIAL (OBS.:3%-DESGASTE DE FERRAMENTAS E EPI).</t>
  </si>
  <si>
    <t>20111</t>
  </si>
  <si>
    <t>MAO-DE-OBRA DE OPERADOR DE MAQUINA (TRATOR, ETC.), INCLUSIVE ENCARGOS SOCIAIS DESONERADOS</t>
  </si>
  <si>
    <t>11.003.0006-A</t>
  </si>
  <si>
    <t>CONCRETO DOSADO RACIONALMENTE PARA UMA RESISTENCIA CARACTERISTICA A COMPRESSAO DE 30MPA,INCLUSIVE MATERIAIS,TRANSPORTE,P REPARO COM BETONEIRA,LANCAMENTO E ADENSAMENTO</t>
  </si>
  <si>
    <t>30260</t>
  </si>
  <si>
    <t>11.002.0023-B LANCAMENTO CONC.C/ARM.2,0M3/H,HORIZ/VERT</t>
  </si>
  <si>
    <t>30254</t>
  </si>
  <si>
    <t>11.002.0013-B PREPARO CONCR. BETON. 320L; 2,0M3/H</t>
  </si>
  <si>
    <t>30249</t>
  </si>
  <si>
    <t>11.001.0008-B CONCRETO FCK 30MPA</t>
  </si>
  <si>
    <t>11.009.0011-A</t>
  </si>
  <si>
    <t>FIO DE ACO CA-60,REDONDO,COM SALIENCIA OU MOSSA,COEFICIENTE DE CONFORMACAO SUPERFICIAL MINIMO(ADERENCIA)IGUAL A 1,5,DIAM ETRO ENTRE 4,2 A 5MM,DESTINADO A ARMADURA DE PECAS DE CONCRETO ARMADO,COMPREENDENDO 10% DE PERDAS DE PONTAS E ARAME 18.F ORNECIMENTO</t>
  </si>
  <si>
    <t>06129</t>
  </si>
  <si>
    <t>ACO CA-60, ESTIRADO, PRECO DE FABRICA, NO DIAMETRO DE 05,0MM</t>
  </si>
  <si>
    <t>06128</t>
  </si>
  <si>
    <t>ACO CA-60, ESTIRADO, PRECO DE FABRICA, NO DIAMETRO DE 04,2MM</t>
  </si>
  <si>
    <t>00004</t>
  </si>
  <si>
    <t>ARAME RECOZIDO N§ 18</t>
  </si>
  <si>
    <t>SI00000096543</t>
  </si>
  <si>
    <t>ARMAÇÃO DE BLOCO, VIGA BALDRAME E SAPATA UTILIZANDO AÇO CA-60 DE 5 MM - MONTAGEM. AF_06/2017</t>
  </si>
  <si>
    <t>0043132</t>
  </si>
  <si>
    <t>ARAME RECOZIDO 16 BWG, D = 1,65 MM (0,016 KG/M) OU 18 BWG, D = 1,25 MM (0,01 KG/M)</t>
  </si>
  <si>
    <t>0039017</t>
  </si>
  <si>
    <t>ESPACADOR / DISTANCIADOR CIRCULAR COM ENTRADA LATERAL, EM PLASTICO, PARA VERGALHAO *4,2 A 12,5* MM, COBRIMENTO 20 MM</t>
  </si>
  <si>
    <t>SI00000092791</t>
  </si>
  <si>
    <t>SI00000092791 CORTE E DOBRA DE AÇO CA-60, DIÂMETRO DE 5,0 MM, UTILIZADO EM ESTRUTURAS DIVERSAS, EXCETO LAJES. AF_12/2015</t>
  </si>
  <si>
    <t>11.009.0013-A</t>
  </si>
  <si>
    <t>BARRA DE ACO CA-50,COM SALIENCIA OU MOSSA,COEFICIENTE DE CONFORMACAO SUPERFICIAL MINIMO (ADERENCIA) IGUAL A 1,5,DIAMETRO DE 6,3MM,DESTINADA A ARMADURA DE CONCRETO ARMADO,10% DE PERDAS DE PONTAS E ARAME 18.FORNECIMENTO</t>
  </si>
  <si>
    <t>1.7</t>
  </si>
  <si>
    <t>12.005.0030-A</t>
  </si>
  <si>
    <t>ALVENARIA DE BLOCOS DE CONCRETO 15X20X40CM,ASSENTES COM ARGAMASSA DE CIMENTO E AREIA,NO TRACO 1:8,EM PAREDES DE 0,15M DE ESPESSURA,DE SUPERFICIE CORRIDA,ATE 3,00M DE ALTURA E MEDIDA PELA AREA REAL (OBS.:3%-DESGASTE DE FERRAMENTAS E EPI).</t>
  </si>
  <si>
    <t>10768</t>
  </si>
  <si>
    <t>BLOCO CONCRETO PRENSADO, DE (15X20X40)CM</t>
  </si>
  <si>
    <t>30167</t>
  </si>
  <si>
    <t>07.002.0045-B ARGAMASSA CIM.,AREIA TRACO 1:8,PREPAROMECANICO</t>
  </si>
  <si>
    <t>CORTE E DOBRA DE AÇO CA-60, DIÂMETRO DE 5,0 MM, UTILIZADO EM ESTRUTURAS DIVERSAS, EXCETO LAJES. AF_12/2015</t>
  </si>
  <si>
    <t>0006114</t>
  </si>
  <si>
    <t>AJUDANTE DE ARMADOR</t>
  </si>
  <si>
    <t>0000378</t>
  </si>
  <si>
    <t>ARMADOR</t>
  </si>
  <si>
    <t>0,0250000</t>
  </si>
  <si>
    <t>ALAMBRADO / ESQUADRIAS</t>
  </si>
  <si>
    <t>0007167</t>
  </si>
  <si>
    <t>TELA DE ARAME GALVANIZADA QUADRANGULAR / LOSANGULAR, FIO 2,11 MM (14 BWG), MALHA 5 X 5 CM, H = 2 M</t>
  </si>
  <si>
    <t>05859</t>
  </si>
  <si>
    <t>TELA DE ARAME GALVANIZADO FIO N§ 12, MALHA LOSANGO, DE (5X5)CM</t>
  </si>
  <si>
    <t>09.015.0074-A</t>
  </si>
  <si>
    <t>CONTRAVENTAMENTO DE ALAMBRADO COM TUBOS DE FERRO GALVANIZADO(EXTERN.E INTERNAMENTE),C/DIAMETRO INTERNO DE 2" E ESPESSURA DE PAREDE DE 1/8".FORNECIMENTO E COLOCACAO (OBS.:3%-DESGASTE DE FERRAMENTAS E EPI 15%-PERDAS E DEMAIS MATERIAIS NECESSARIOS).</t>
  </si>
  <si>
    <t>00173</t>
  </si>
  <si>
    <t>TUBO DE ACO GALVANIZADO, COM COSTURA, PESADO, NBR 5580, DN=2"</t>
  </si>
  <si>
    <t>15.003.0395-6</t>
  </si>
  <si>
    <t>Abraçadeiras metálicas rígida tipo U 2 1/2", com 2 parafusos de aco tipo chumbador parabolt, diametro 3/8", comprimento 75 mm (fixação de tubos no muro).</t>
  </si>
  <si>
    <t>15.003.0395-A</t>
  </si>
  <si>
    <t>ABRACADEIRA DE FIXACAO,TIPO COPO,ESTAMPADA EM CHAPA DE FERRO ZINCADA,COMPOSTA DE CANOPLA,PARAFUSOS E ABRACADEIRAS PROPRI AMENTE DITA,NO DIAMETRO 2".FORNECIMENTO E COLOCACAO</t>
  </si>
  <si>
    <t>05906</t>
  </si>
  <si>
    <t>PARAFUSO FERRO, ROSCA SOBERBA, CABECA CHATA, DE (3,8X30)MM</t>
  </si>
  <si>
    <t>05881</t>
  </si>
  <si>
    <t>BUCHA DE NYLON, TIPO S-06</t>
  </si>
  <si>
    <t>05273</t>
  </si>
  <si>
    <t>ABRACADEIRA TIPO COPO, DE 2"</t>
  </si>
  <si>
    <t>0000397</t>
  </si>
  <si>
    <t>ABRACADEIRA EM ACO PARA AMARRACAO DE ELETRODUTOS, TIPO D, COM 2 1/2" E PARAFUSO DE FIXACAO</t>
  </si>
  <si>
    <t>0011964</t>
  </si>
  <si>
    <t>PARAFUSO DE ACO TIPO CHUMBADOR PARABOLT, DIAMETRO 3/8", COMPRIMENTO 75 MM</t>
  </si>
  <si>
    <t>2.4</t>
  </si>
  <si>
    <t>14.002.0085-5</t>
  </si>
  <si>
    <t>PORTAO DE FERRO,DUAS FOLHAS,MED.1,80X2,80M CADA,C/1 MONTANTE CADA LADO EM TUBO FERRO GALV.3" E ALT.2,80M SENDO CADA FL.FORM ADA POR 4 TUBOS DE FERRO GALV.1.1/4"NA VERT.REFORCADO NA PARTE SUPERIOR E INFERIOR POR 2 BARRAS CHATAS 2"X3/8"NA HORIZON TAL E 1 BARRA CHATA 1"X1/8" INCLINADA,C/FECHADURA SOBREPOR FERRO CROMADO C/CILINDRO,INCL.FECHADURA E PINTURA.FORN.COLOC. (OBS.:3%-DESGASTE DE FERRAMENTAS E EPI 15%-PERDAS E DEMAIS MATERIAIS NECESSARIOS).</t>
  </si>
  <si>
    <t>11249</t>
  </si>
  <si>
    <t>11248</t>
  </si>
  <si>
    <t>11246</t>
  </si>
  <si>
    <t>06021</t>
  </si>
  <si>
    <t>02845</t>
  </si>
  <si>
    <t>00197</t>
  </si>
  <si>
    <t>BARRA CHATA DE ACO, DE 2"X3/8"</t>
  </si>
  <si>
    <t>BARRA CHATA DE ACO, 1"X1/8"</t>
  </si>
  <si>
    <t>FECHADURA EM FERRO CROMADO, DE SOBREPOR,COM CILINDRO, PARA PORTAO</t>
  </si>
  <si>
    <t>FUNDO ANTICORROSIVO DE SECAGEM RAPIDA LARANJA</t>
  </si>
  <si>
    <t>TUBO DE ACO GALVANIZADO, COM COSTURA, PESADO, NBR 5580, DN=1.1/4"</t>
  </si>
  <si>
    <t>TUBO DE ACO GALVANIZADO, COM COSTURA, PESADO, NBR 5580, DN=3"</t>
  </si>
  <si>
    <t>84126            + 05.001.0607-A + INSUMO 11964</t>
  </si>
  <si>
    <r>
      <t xml:space="preserve">Chapa de aco carbono 3/8 (coloc/ uso/ retir) p/ pass veiculo sobre vala medida p/ area chapa em cada aplicacao, medidas aproximadas de 15x15cm , inclusive furacao em concreto com furadeira manual e broca de widia de diametro ate 1/2"  e  4 parafusos de aco tipo chumbador parabolt, diametro 3/8", comprimento 75 mm  </t>
    </r>
    <r>
      <rPr>
        <b/>
        <sz val="12"/>
        <rFont val="Arial"/>
        <family val="2"/>
      </rPr>
      <t>(soldar nos tubos e fixar o alambrado no muro fachada).</t>
    </r>
  </si>
  <si>
    <t>UNID</t>
  </si>
  <si>
    <t>Si00000084126</t>
  </si>
  <si>
    <t>Chapa de aco carbono 3/8 (coloc/ uso/ retir) p/ pass veiculo sobre vala medida p/ area chapa em cada aplicacao</t>
  </si>
  <si>
    <t>0001332</t>
  </si>
  <si>
    <t>CHAPA DE ACO GROSSA, ASTM A36, E = 3/8 " (9,53 MM) 74,69 KG/M2</t>
  </si>
  <si>
    <t>2.5</t>
  </si>
  <si>
    <t>04.014.0095-A</t>
  </si>
  <si>
    <t>01.001.0075-1</t>
  </si>
  <si>
    <t>03.001.0001-1</t>
  </si>
  <si>
    <t>03.011.0015-1</t>
  </si>
  <si>
    <t>01970</t>
  </si>
  <si>
    <t>MAO-DE-OBRA DE OPERADOR DE MAQUINA (TRATOR, ETC), INCLUSIVE ENCARGOS SOCIAIS</t>
  </si>
  <si>
    <t>11.003.0006-0</t>
  </si>
  <si>
    <t>03378</t>
  </si>
  <si>
    <t>11.001.0008-1 CONCRETO FCK 30MPA</t>
  </si>
  <si>
    <t>01752</t>
  </si>
  <si>
    <t>11.002.0023-1 LANCAMENTO CONC.C/ARM.2,0M3/H,HORIZ/VERT</t>
  </si>
  <si>
    <t>01745</t>
  </si>
  <si>
    <t>11.002.0013-1 PREPARO CONCR. BETON. 320L; 2,0M3/H</t>
  </si>
  <si>
    <t>11.009.0011-0</t>
  </si>
  <si>
    <t>So00000096543</t>
  </si>
  <si>
    <t>So0043132</t>
  </si>
  <si>
    <t>So0039017</t>
  </si>
  <si>
    <t>So00000092791</t>
  </si>
  <si>
    <t>So00000092791 CORTE E DOBRA DE AÇO CA-60, DIÂMETRO DE 5,0 MM, UTILIZADO EM ESTRUTURAS DIVERSAS, EXCETO LAJES. AF_12/2015</t>
  </si>
  <si>
    <t>11.009.0013-0</t>
  </si>
  <si>
    <t>So0006114</t>
  </si>
  <si>
    <t>So0000378</t>
  </si>
  <si>
    <t>12.005.0030-0</t>
  </si>
  <si>
    <t>01609</t>
  </si>
  <si>
    <t>07.002.0045-1 ARGAMASSA CIM.,AREIA TRACO 1:8,PREPAROMECANICO</t>
  </si>
  <si>
    <t>So0007167</t>
  </si>
  <si>
    <t>09.015.0074-0</t>
  </si>
  <si>
    <t>15.003.0395-0</t>
  </si>
  <si>
    <t>So0000397</t>
  </si>
  <si>
    <t>So0011964</t>
  </si>
  <si>
    <t>So00000084126</t>
  </si>
  <si>
    <t>So0001332</t>
  </si>
  <si>
    <t>05.001.0171-A</t>
  </si>
  <si>
    <t>TRANSPORTE HORIZONTAL DE MATERIAL DE 1¦CATEGORIA OU ENTULHO,EM CARRINHOS,A 20,00M DE DISTANCIA,INCLUSIVE CARGA A PA (OBS.:3%- DESGASTE DE FERRAMENTAS E EPI).</t>
  </si>
  <si>
    <t>05.001.0171-0</t>
  </si>
  <si>
    <t>Serviço :Reforma Escola santo Antônio-Colocação Alambrado .</t>
  </si>
  <si>
    <t>Local: Estrada Governador Chagas Freitas 2901,Colônia Santo Antônio , Barra Mansa-Rj</t>
  </si>
  <si>
    <r>
      <t xml:space="preserve">Data-Base: SET/2020 -  EMOP -  RJ / SINAPI </t>
    </r>
    <r>
      <rPr>
        <sz val="12"/>
        <color indexed="8"/>
        <rFont val="Arial"/>
        <family val="2"/>
      </rPr>
      <t>-</t>
    </r>
    <r>
      <rPr>
        <b/>
        <sz val="12"/>
        <color indexed="8"/>
        <rFont val="Arial"/>
        <family val="2"/>
      </rPr>
      <t xml:space="preserve"> NÃO Desonerado </t>
    </r>
    <r>
      <rPr>
        <sz val="12"/>
        <color indexed="8"/>
        <rFont val="Arial"/>
        <family val="2"/>
      </rPr>
      <t xml:space="preserve"> </t>
    </r>
  </si>
  <si>
    <t>PROJETO: Eng. Marisa de Sousa e Silva</t>
  </si>
  <si>
    <t>LEVANTAMENTO:  Eng. Marisa de Sousa e Silva</t>
  </si>
  <si>
    <t>ORÇAMENTO: Engª Marisa de Sousa e Silva</t>
  </si>
  <si>
    <t>ATUALIZAÇÃO DA DATA BASE: Eng. Patrick Suckow</t>
  </si>
  <si>
    <r>
      <t xml:space="preserve">Data-Base: SET/2020 -  EMOP -  RJ / SINAPI </t>
    </r>
    <r>
      <rPr>
        <sz val="12"/>
        <color indexed="8"/>
        <rFont val="Arial"/>
        <family val="2"/>
      </rPr>
      <t>-</t>
    </r>
    <r>
      <rPr>
        <b/>
        <sz val="12"/>
        <color indexed="8"/>
        <rFont val="Arial"/>
        <family val="2"/>
      </rPr>
      <t xml:space="preserve">  Desonerado </t>
    </r>
    <r>
      <rPr>
        <sz val="12"/>
        <color indexed="8"/>
        <rFont val="Arial"/>
        <family val="2"/>
      </rPr>
      <t xml:space="preserve"> </t>
    </r>
  </si>
  <si>
    <t>ORÇAMENTO</t>
  </si>
  <si>
    <t xml:space="preserve">Data-Base: SET/2020 -  EMOP -  RJ / SINAPI - NÃO Desonerado  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</si>
</sst>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"/>
    <numFmt numFmtId="166" formatCode="0.0%"/>
    <numFmt numFmtId="167" formatCode="_([$€]* #,##0.00_);_([$€]* \(#,##0.00\);_([$€]* &quot;-&quot;??_);_(@_)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_ ;\-#,##0.00\ 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mmm/yyyy"/>
    <numFmt numFmtId="188" formatCode="&quot;R$&quot;\ #,##0.00"/>
    <numFmt numFmtId="189" formatCode="#,##0.0"/>
    <numFmt numFmtId="190" formatCode="_ * #,##0.00_ ;_ * \-#,##0.00_ ;_ * &quot;-&quot;??_ ;_ @_ "/>
    <numFmt numFmtId="191" formatCode="#,##0.000"/>
    <numFmt numFmtId="192" formatCode="#,##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  <family val="0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11"/>
      <name val="Switzerlan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5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57" fillId="33" borderId="11" xfId="65" applyNumberFormat="1" applyFont="1" applyFill="1" applyBorder="1" applyAlignment="1">
      <alignment horizontal="center"/>
      <protection/>
    </xf>
    <xf numFmtId="49" fontId="57" fillId="33" borderId="12" xfId="59" applyNumberFormat="1" applyFont="1" applyFill="1" applyBorder="1">
      <alignment/>
      <protection/>
    </xf>
    <xf numFmtId="4" fontId="57" fillId="33" borderId="12" xfId="59" applyNumberFormat="1" applyFont="1" applyFill="1" applyBorder="1" applyAlignment="1">
      <alignment horizontal="left" readingOrder="1"/>
      <protection/>
    </xf>
    <xf numFmtId="4" fontId="57" fillId="33" borderId="11" xfId="66" applyNumberFormat="1" applyFont="1" applyFill="1" applyBorder="1" applyAlignment="1">
      <alignment horizontal="left" vertical="center"/>
      <protection/>
    </xf>
    <xf numFmtId="4" fontId="57" fillId="33" borderId="12" xfId="0" applyNumberFormat="1" applyFont="1" applyFill="1" applyBorder="1" applyAlignment="1">
      <alignment horizontal="left"/>
    </xf>
    <xf numFmtId="4" fontId="57" fillId="33" borderId="12" xfId="65" applyNumberFormat="1" applyFont="1" applyFill="1" applyBorder="1" applyAlignment="1">
      <alignment horizontal="left"/>
      <protection/>
    </xf>
    <xf numFmtId="4" fontId="57" fillId="33" borderId="13" xfId="65" applyNumberFormat="1" applyFont="1" applyFill="1" applyBorder="1" applyAlignment="1">
      <alignment horizontal="left"/>
      <protection/>
    </xf>
    <xf numFmtId="49" fontId="57" fillId="33" borderId="14" xfId="65" applyNumberFormat="1" applyFont="1" applyFill="1" applyBorder="1" applyAlignment="1">
      <alignment horizontal="center"/>
      <protection/>
    </xf>
    <xf numFmtId="49" fontId="57" fillId="33" borderId="0" xfId="59" applyNumberFormat="1" applyFont="1" applyFill="1" applyBorder="1">
      <alignment/>
      <protection/>
    </xf>
    <xf numFmtId="4" fontId="57" fillId="33" borderId="0" xfId="59" applyNumberFormat="1" applyFont="1" applyFill="1" applyBorder="1" applyAlignment="1">
      <alignment horizontal="left" readingOrder="1"/>
      <protection/>
    </xf>
    <xf numFmtId="4" fontId="58" fillId="33" borderId="0" xfId="59" applyNumberFormat="1" applyFont="1" applyFill="1" applyBorder="1" applyAlignment="1">
      <alignment vertical="center" wrapText="1" readingOrder="1"/>
      <protection/>
    </xf>
    <xf numFmtId="4" fontId="58" fillId="33" borderId="0" xfId="59" applyNumberFormat="1" applyFont="1" applyFill="1" applyBorder="1">
      <alignment/>
      <protection/>
    </xf>
    <xf numFmtId="49" fontId="57" fillId="33" borderId="15" xfId="65" applyNumberFormat="1" applyFont="1" applyFill="1" applyBorder="1" applyAlignment="1">
      <alignment horizontal="center"/>
      <protection/>
    </xf>
    <xf numFmtId="49" fontId="57" fillId="33" borderId="16" xfId="66" applyNumberFormat="1" applyFont="1" applyFill="1" applyBorder="1" applyAlignment="1">
      <alignment horizontal="center"/>
      <protection/>
    </xf>
    <xf numFmtId="4" fontId="58" fillId="33" borderId="16" xfId="66" applyNumberFormat="1" applyFont="1" applyFill="1" applyBorder="1" applyAlignment="1">
      <alignment/>
      <protection/>
    </xf>
    <xf numFmtId="0" fontId="4" fillId="0" borderId="13" xfId="62" applyFont="1" applyBorder="1">
      <alignment/>
      <protection/>
    </xf>
    <xf numFmtId="0" fontId="4" fillId="0" borderId="0" xfId="62" applyFont="1">
      <alignment/>
      <protection/>
    </xf>
    <xf numFmtId="0" fontId="7" fillId="0" borderId="0" xfId="62">
      <alignment/>
      <protection/>
    </xf>
    <xf numFmtId="0" fontId="4" fillId="0" borderId="17" xfId="62" applyFont="1" applyBorder="1">
      <alignment/>
      <protection/>
    </xf>
    <xf numFmtId="0" fontId="4" fillId="0" borderId="18" xfId="62" applyFont="1" applyBorder="1">
      <alignment/>
      <protection/>
    </xf>
    <xf numFmtId="0" fontId="10" fillId="0" borderId="19" xfId="62" applyFont="1" applyBorder="1" applyAlignment="1">
      <alignment horizontal="center"/>
      <protection/>
    </xf>
    <xf numFmtId="0" fontId="7" fillId="0" borderId="0" xfId="62" applyBorder="1">
      <alignment/>
      <protection/>
    </xf>
    <xf numFmtId="0" fontId="10" fillId="0" borderId="20" xfId="62" applyFon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0" fontId="9" fillId="0" borderId="21" xfId="63" applyFont="1" applyFill="1" applyBorder="1" applyAlignment="1">
      <alignment vertical="top"/>
      <protection/>
    </xf>
    <xf numFmtId="39" fontId="8" fillId="0" borderId="21" xfId="62" applyNumberFormat="1" applyFont="1" applyBorder="1" applyAlignment="1">
      <alignment/>
      <protection/>
    </xf>
    <xf numFmtId="0" fontId="8" fillId="0" borderId="0" xfId="62" applyFont="1">
      <alignment/>
      <protection/>
    </xf>
    <xf numFmtId="0" fontId="9" fillId="0" borderId="19" xfId="65" applyFont="1" applyFill="1" applyBorder="1" applyAlignment="1">
      <alignment vertical="top"/>
      <protection/>
    </xf>
    <xf numFmtId="0" fontId="8" fillId="0" borderId="19" xfId="65" applyFont="1" applyFill="1" applyBorder="1" applyAlignment="1">
      <alignment horizontal="left" vertical="top"/>
      <protection/>
    </xf>
    <xf numFmtId="10" fontId="8" fillId="0" borderId="19" xfId="71" applyNumberFormat="1" applyFont="1" applyFill="1" applyBorder="1" applyAlignment="1">
      <alignment/>
    </xf>
    <xf numFmtId="39" fontId="8" fillId="0" borderId="0" xfId="62" applyNumberFormat="1" applyFont="1">
      <alignment/>
      <protection/>
    </xf>
    <xf numFmtId="0" fontId="8" fillId="0" borderId="19" xfId="65" applyFont="1" applyFill="1" applyBorder="1" applyAlignment="1">
      <alignment horizontal="justify" vertical="justify" wrapText="1"/>
      <protection/>
    </xf>
    <xf numFmtId="0" fontId="11" fillId="0" borderId="19" xfId="65" applyFont="1" applyBorder="1" applyAlignment="1">
      <alignment vertical="top"/>
      <protection/>
    </xf>
    <xf numFmtId="0" fontId="11" fillId="0" borderId="19" xfId="65" applyFont="1" applyBorder="1" applyAlignment="1">
      <alignment horizontal="left" vertical="top"/>
      <protection/>
    </xf>
    <xf numFmtId="0" fontId="12" fillId="0" borderId="0" xfId="62" applyFont="1">
      <alignment/>
      <protection/>
    </xf>
    <xf numFmtId="0" fontId="8" fillId="0" borderId="0" xfId="62" applyFont="1" applyBorder="1">
      <alignment/>
      <protection/>
    </xf>
    <xf numFmtId="4" fontId="8" fillId="0" borderId="0" xfId="62" applyNumberFormat="1" applyFont="1">
      <alignment/>
      <protection/>
    </xf>
    <xf numFmtId="0" fontId="57" fillId="34" borderId="19" xfId="0" applyFont="1" applyFill="1" applyBorder="1" applyAlignment="1">
      <alignment/>
    </xf>
    <xf numFmtId="0" fontId="37" fillId="33" borderId="0" xfId="0" applyFont="1" applyFill="1" applyAlignment="1">
      <alignment horizontal="right"/>
    </xf>
    <xf numFmtId="4" fontId="5" fillId="33" borderId="0" xfId="59" applyNumberFormat="1" applyFont="1" applyFill="1" applyBorder="1" applyAlignment="1">
      <alignment vertical="center" wrapText="1" readingOrder="1"/>
      <protection/>
    </xf>
    <xf numFmtId="4" fontId="19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0" fontId="57" fillId="34" borderId="22" xfId="0" applyFont="1" applyFill="1" applyBorder="1" applyAlignment="1">
      <alignment/>
    </xf>
    <xf numFmtId="0" fontId="57" fillId="34" borderId="23" xfId="0" applyFont="1" applyFill="1" applyBorder="1" applyAlignment="1">
      <alignment/>
    </xf>
    <xf numFmtId="0" fontId="57" fillId="34" borderId="21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 vertical="justify" wrapText="1"/>
    </xf>
    <xf numFmtId="0" fontId="6" fillId="33" borderId="21" xfId="0" applyFont="1" applyFill="1" applyBorder="1" applyAlignment="1">
      <alignment horizontal="right"/>
    </xf>
    <xf numFmtId="4" fontId="37" fillId="33" borderId="16" xfId="0" applyNumberFormat="1" applyFont="1" applyFill="1" applyBorder="1" applyAlignment="1">
      <alignment horizontal="right"/>
    </xf>
    <xf numFmtId="4" fontId="37" fillId="33" borderId="22" xfId="0" applyNumberFormat="1" applyFont="1" applyFill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4" fontId="3" fillId="0" borderId="0" xfId="67" applyNumberFormat="1" applyFont="1" applyFill="1" applyBorder="1" applyAlignment="1">
      <alignment horizontal="center" vertical="center"/>
      <protection/>
    </xf>
    <xf numFmtId="4" fontId="3" fillId="0" borderId="0" xfId="67" applyNumberFormat="1" applyFont="1" applyFill="1" applyBorder="1" applyAlignment="1">
      <alignment horizontal="right"/>
      <protection/>
    </xf>
    <xf numFmtId="4" fontId="3" fillId="0" borderId="0" xfId="68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67" applyFont="1" applyFill="1" applyBorder="1" applyAlignment="1">
      <alignment horizontal="justify" vertical="justify" wrapText="1"/>
      <protection/>
    </xf>
    <xf numFmtId="4" fontId="3" fillId="0" borderId="0" xfId="67" applyNumberFormat="1" applyFont="1" applyFill="1" applyBorder="1" applyAlignment="1">
      <alignment horizontal="justify" vertical="justify" wrapText="1"/>
      <protection/>
    </xf>
    <xf numFmtId="44" fontId="8" fillId="0" borderId="19" xfId="50" applyFont="1" applyFill="1" applyBorder="1" applyAlignment="1">
      <alignment/>
    </xf>
    <xf numFmtId="10" fontId="8" fillId="35" borderId="19" xfId="71" applyNumberFormat="1" applyFont="1" applyFill="1" applyBorder="1" applyAlignment="1">
      <alignment/>
    </xf>
    <xf numFmtId="4" fontId="8" fillId="35" borderId="20" xfId="56" applyNumberFormat="1" applyFont="1" applyFill="1" applyBorder="1">
      <alignment/>
      <protection/>
    </xf>
    <xf numFmtId="0" fontId="8" fillId="35" borderId="24" xfId="56" applyFont="1" applyFill="1" applyBorder="1">
      <alignment/>
      <protection/>
    </xf>
    <xf numFmtId="166" fontId="9" fillId="35" borderId="24" xfId="71" applyNumberFormat="1" applyFont="1" applyFill="1" applyBorder="1" applyAlignment="1">
      <alignment horizontal="center"/>
    </xf>
    <xf numFmtId="0" fontId="8" fillId="35" borderId="25" xfId="62" applyFont="1" applyFill="1" applyBorder="1">
      <alignment/>
      <protection/>
    </xf>
    <xf numFmtId="44" fontId="9" fillId="0" borderId="19" xfId="50" applyFont="1" applyFill="1" applyBorder="1" applyAlignment="1">
      <alignment/>
    </xf>
    <xf numFmtId="4" fontId="18" fillId="0" borderId="0" xfId="68" applyNumberFormat="1" applyFont="1" applyFill="1" applyBorder="1" applyAlignment="1">
      <alignment horizontal="right"/>
      <protection/>
    </xf>
    <xf numFmtId="4" fontId="18" fillId="0" borderId="0" xfId="0" applyNumberFormat="1" applyFont="1" applyFill="1" applyBorder="1" applyAlignment="1">
      <alignment horizontal="right"/>
    </xf>
    <xf numFmtId="0" fontId="3" fillId="0" borderId="0" xfId="67" applyFont="1" applyFill="1" applyBorder="1" applyAlignment="1">
      <alignment horizontal="justify" vertical="top" wrapText="1"/>
      <protection/>
    </xf>
    <xf numFmtId="4" fontId="3" fillId="0" borderId="0" xfId="67" applyNumberFormat="1" applyFont="1" applyFill="1" applyBorder="1" applyAlignment="1">
      <alignment/>
      <protection/>
    </xf>
    <xf numFmtId="0" fontId="6" fillId="0" borderId="23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 vertical="justify" wrapText="1"/>
    </xf>
    <xf numFmtId="4" fontId="37" fillId="0" borderId="22" xfId="0" applyNumberFormat="1" applyFont="1" applyFill="1" applyBorder="1" applyAlignment="1">
      <alignment horizontal="right"/>
    </xf>
    <xf numFmtId="10" fontId="9" fillId="0" borderId="21" xfId="63" applyNumberFormat="1" applyFont="1" applyFill="1" applyBorder="1" applyAlignment="1">
      <alignment vertical="top"/>
      <protection/>
    </xf>
    <xf numFmtId="10" fontId="8" fillId="0" borderId="19" xfId="50" applyNumberFormat="1" applyFont="1" applyFill="1" applyBorder="1" applyAlignment="1">
      <alignment/>
    </xf>
    <xf numFmtId="0" fontId="18" fillId="0" borderId="0" xfId="67" applyFont="1" applyFill="1" applyBorder="1" applyAlignment="1">
      <alignment horizontal="center" vertical="center"/>
      <protection/>
    </xf>
    <xf numFmtId="0" fontId="18" fillId="0" borderId="0" xfId="67" applyFont="1" applyFill="1" applyBorder="1" applyAlignment="1">
      <alignment horizontal="center" vertical="center" wrapText="1"/>
      <protection/>
    </xf>
    <xf numFmtId="0" fontId="18" fillId="0" borderId="0" xfId="67" applyFont="1" applyFill="1" applyBorder="1" applyAlignment="1">
      <alignment horizontal="justify" vertical="top" wrapText="1"/>
      <protection/>
    </xf>
    <xf numFmtId="4" fontId="18" fillId="0" borderId="0" xfId="67" applyNumberFormat="1" applyFont="1" applyFill="1" applyBorder="1" applyAlignment="1">
      <alignment horizontal="center" vertical="center"/>
      <protection/>
    </xf>
    <xf numFmtId="4" fontId="18" fillId="0" borderId="0" xfId="67" applyNumberFormat="1" applyFont="1" applyFill="1" applyBorder="1" applyAlignment="1">
      <alignment/>
      <protection/>
    </xf>
    <xf numFmtId="4" fontId="18" fillId="0" borderId="0" xfId="67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0" fontId="3" fillId="0" borderId="0" xfId="67" applyFont="1" applyFill="1" applyBorder="1" applyAlignment="1">
      <alignment horizontal="center" vertical="justify" wrapText="1"/>
      <protection/>
    </xf>
    <xf numFmtId="0" fontId="3" fillId="9" borderId="19" xfId="67" applyFont="1" applyFill="1" applyBorder="1" applyAlignment="1">
      <alignment horizontal="center" vertical="center"/>
      <protection/>
    </xf>
    <xf numFmtId="0" fontId="3" fillId="9" borderId="19" xfId="67" applyFont="1" applyFill="1" applyBorder="1" applyAlignment="1">
      <alignment horizontal="center" vertical="center" wrapText="1"/>
      <protection/>
    </xf>
    <xf numFmtId="0" fontId="3" fillId="9" borderId="19" xfId="67" applyFont="1" applyFill="1" applyBorder="1" applyAlignment="1">
      <alignment horizontal="justify" vertical="top" wrapText="1"/>
      <protection/>
    </xf>
    <xf numFmtId="4" fontId="3" fillId="9" borderId="19" xfId="67" applyNumberFormat="1" applyFont="1" applyFill="1" applyBorder="1" applyAlignment="1">
      <alignment horizontal="center" vertical="center"/>
      <protection/>
    </xf>
    <xf numFmtId="4" fontId="3" fillId="9" borderId="19" xfId="67" applyNumberFormat="1" applyFont="1" applyFill="1" applyBorder="1" applyAlignment="1">
      <alignment/>
      <protection/>
    </xf>
    <xf numFmtId="4" fontId="3" fillId="9" borderId="19" xfId="67" applyNumberFormat="1" applyFont="1" applyFill="1" applyBorder="1" applyAlignment="1">
      <alignment horizontal="right"/>
      <protection/>
    </xf>
    <xf numFmtId="4" fontId="3" fillId="9" borderId="19" xfId="68" applyNumberFormat="1" applyFont="1" applyFill="1" applyBorder="1" applyAlignment="1">
      <alignment horizontal="right"/>
      <protection/>
    </xf>
    <xf numFmtId="4" fontId="3" fillId="9" borderId="19" xfId="0" applyNumberFormat="1" applyFont="1" applyFill="1" applyBorder="1" applyAlignment="1">
      <alignment horizontal="right"/>
    </xf>
    <xf numFmtId="0" fontId="3" fillId="9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justify" vertical="justify" wrapText="1"/>
    </xf>
    <xf numFmtId="0" fontId="5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justify" vertical="justify" wrapText="1"/>
    </xf>
    <xf numFmtId="0" fontId="5" fillId="33" borderId="0" xfId="0" applyFont="1" applyFill="1" applyBorder="1" applyAlignment="1">
      <alignment horizontal="center"/>
    </xf>
    <xf numFmtId="0" fontId="18" fillId="0" borderId="0" xfId="67" applyFont="1" applyFill="1" applyBorder="1" applyAlignment="1">
      <alignment horizontal="left" vertical="center" wrapText="1"/>
      <protection/>
    </xf>
    <xf numFmtId="4" fontId="58" fillId="33" borderId="14" xfId="66" applyNumberFormat="1" applyFont="1" applyFill="1" applyBorder="1" applyAlignment="1">
      <alignment horizontal="left" vertical="center"/>
      <protection/>
    </xf>
    <xf numFmtId="4" fontId="58" fillId="33" borderId="0" xfId="66" applyNumberFormat="1" applyFont="1" applyFill="1" applyBorder="1" applyAlignment="1">
      <alignment horizontal="left" vertical="center"/>
      <protection/>
    </xf>
    <xf numFmtId="4" fontId="58" fillId="33" borderId="17" xfId="66" applyNumberFormat="1" applyFont="1" applyFill="1" applyBorder="1" applyAlignment="1">
      <alignment horizontal="left" vertical="center"/>
      <protection/>
    </xf>
    <xf numFmtId="0" fontId="3" fillId="0" borderId="0" xfId="67" applyNumberFormat="1" applyFont="1" applyFill="1" applyBorder="1" applyAlignment="1">
      <alignment/>
      <protection/>
    </xf>
    <xf numFmtId="2" fontId="3" fillId="0" borderId="0" xfId="67" applyNumberFormat="1" applyFont="1" applyFill="1" applyBorder="1" applyAlignment="1">
      <alignment/>
      <protection/>
    </xf>
    <xf numFmtId="49" fontId="57" fillId="33" borderId="23" xfId="65" applyNumberFormat="1" applyFont="1" applyFill="1" applyBorder="1" applyAlignment="1">
      <alignment horizontal="center" vertical="center" wrapText="1"/>
      <protection/>
    </xf>
    <xf numFmtId="0" fontId="58" fillId="33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58" fillId="33" borderId="14" xfId="66" applyNumberFormat="1" applyFont="1" applyFill="1" applyBorder="1" applyAlignment="1">
      <alignment horizontal="left" vertical="center"/>
      <protection/>
    </xf>
    <xf numFmtId="4" fontId="58" fillId="33" borderId="0" xfId="66" applyNumberFormat="1" applyFont="1" applyFill="1" applyBorder="1" applyAlignment="1">
      <alignment horizontal="left" vertical="center"/>
      <protection/>
    </xf>
    <xf numFmtId="4" fontId="58" fillId="33" borderId="17" xfId="66" applyNumberFormat="1" applyFont="1" applyFill="1" applyBorder="1" applyAlignment="1">
      <alignment horizontal="left" vertical="center"/>
      <protection/>
    </xf>
    <xf numFmtId="0" fontId="10" fillId="0" borderId="23" xfId="62" applyFont="1" applyBorder="1" applyAlignment="1">
      <alignment horizontal="center"/>
      <protection/>
    </xf>
    <xf numFmtId="0" fontId="10" fillId="0" borderId="22" xfId="62" applyFont="1" applyBorder="1" applyAlignment="1">
      <alignment horizontal="center"/>
      <protection/>
    </xf>
    <xf numFmtId="4" fontId="9" fillId="0" borderId="23" xfId="64" applyNumberFormat="1" applyFont="1" applyBorder="1" applyAlignment="1">
      <alignment horizontal="center"/>
      <protection/>
    </xf>
    <xf numFmtId="4" fontId="9" fillId="0" borderId="22" xfId="64" applyNumberFormat="1" applyFont="1" applyBorder="1" applyAlignment="1">
      <alignment horizontal="center"/>
      <protection/>
    </xf>
    <xf numFmtId="39" fontId="9" fillId="0" borderId="23" xfId="62" applyNumberFormat="1" applyFont="1" applyBorder="1" applyAlignment="1">
      <alignment horizontal="center"/>
      <protection/>
    </xf>
    <xf numFmtId="39" fontId="9" fillId="0" borderId="22" xfId="62" applyNumberFormat="1" applyFont="1" applyBorder="1" applyAlignment="1">
      <alignment horizontal="center"/>
      <protection/>
    </xf>
    <xf numFmtId="10" fontId="9" fillId="0" borderId="23" xfId="71" applyNumberFormat="1" applyFont="1" applyBorder="1" applyAlignment="1">
      <alignment horizontal="center"/>
    </xf>
    <xf numFmtId="10" fontId="9" fillId="0" borderId="22" xfId="71" applyNumberFormat="1" applyFont="1" applyBorder="1" applyAlignment="1">
      <alignment horizontal="center"/>
    </xf>
    <xf numFmtId="0" fontId="9" fillId="0" borderId="19" xfId="63" applyFont="1" applyFill="1" applyBorder="1" applyAlignment="1">
      <alignment horizontal="center" vertical="top"/>
      <protection/>
    </xf>
    <xf numFmtId="1" fontId="9" fillId="0" borderId="23" xfId="62" applyNumberFormat="1" applyFont="1" applyBorder="1" applyAlignment="1">
      <alignment horizontal="left" vertical="top"/>
      <protection/>
    </xf>
    <xf numFmtId="1" fontId="9" fillId="0" borderId="22" xfId="62" applyNumberFormat="1" applyFont="1" applyBorder="1" applyAlignment="1">
      <alignment horizontal="left" vertical="top"/>
      <protection/>
    </xf>
    <xf numFmtId="0" fontId="10" fillId="0" borderId="20" xfId="62" applyFont="1" applyBorder="1" applyAlignment="1">
      <alignment horizontal="center" wrapText="1"/>
      <protection/>
    </xf>
    <xf numFmtId="0" fontId="10" fillId="0" borderId="24" xfId="62" applyFont="1" applyBorder="1" applyAlignment="1">
      <alignment horizontal="center" wrapText="1"/>
      <protection/>
    </xf>
    <xf numFmtId="0" fontId="10" fillId="0" borderId="25" xfId="62" applyFont="1" applyBorder="1" applyAlignment="1">
      <alignment horizontal="center" wrapText="1"/>
      <protection/>
    </xf>
    <xf numFmtId="0" fontId="10" fillId="0" borderId="21" xfId="62" applyFont="1" applyBorder="1" applyAlignment="1">
      <alignment horizontal="center"/>
      <protection/>
    </xf>
    <xf numFmtId="0" fontId="9" fillId="0" borderId="23" xfId="62" applyFont="1" applyBorder="1" applyAlignment="1">
      <alignment horizontal="left" vertical="top"/>
      <protection/>
    </xf>
    <xf numFmtId="0" fontId="9" fillId="0" borderId="22" xfId="62" applyFont="1" applyBorder="1" applyAlignment="1">
      <alignment horizontal="left" vertical="top"/>
      <protection/>
    </xf>
    <xf numFmtId="44" fontId="9" fillId="0" borderId="11" xfId="59" applyNumberFormat="1" applyFont="1" applyBorder="1" applyAlignment="1">
      <alignment horizontal="center" vertical="center" wrapText="1" readingOrder="1"/>
      <protection/>
    </xf>
    <xf numFmtId="44" fontId="9" fillId="0" borderId="12" xfId="59" applyNumberFormat="1" applyFont="1" applyBorder="1" applyAlignment="1">
      <alignment horizontal="center" vertical="center" wrapText="1" readingOrder="1"/>
      <protection/>
    </xf>
    <xf numFmtId="44" fontId="9" fillId="0" borderId="14" xfId="59" applyNumberFormat="1" applyFont="1" applyBorder="1" applyAlignment="1">
      <alignment horizontal="center" vertical="center" wrapText="1" readingOrder="1"/>
      <protection/>
    </xf>
    <xf numFmtId="44" fontId="9" fillId="0" borderId="0" xfId="59" applyNumberFormat="1" applyFont="1" applyBorder="1" applyAlignment="1">
      <alignment horizontal="center" vertical="center" wrapText="1" readingOrder="1"/>
      <protection/>
    </xf>
    <xf numFmtId="4" fontId="8" fillId="0" borderId="14" xfId="59" applyNumberFormat="1" applyFont="1" applyFill="1" applyBorder="1" applyAlignment="1">
      <alignment horizontal="center" vertical="center" wrapText="1" readingOrder="1"/>
      <protection/>
    </xf>
    <xf numFmtId="4" fontId="8" fillId="0" borderId="0" xfId="59" applyNumberFormat="1" applyFont="1" applyFill="1" applyBorder="1" applyAlignment="1">
      <alignment horizontal="center" vertical="center" wrapText="1" readingOrder="1"/>
      <protection/>
    </xf>
    <xf numFmtId="0" fontId="8" fillId="0" borderId="14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center"/>
      <protection/>
    </xf>
    <xf numFmtId="0" fontId="9" fillId="0" borderId="23" xfId="66" applyFont="1" applyFill="1" applyBorder="1" applyAlignment="1">
      <alignment horizontal="center" vertical="center" wrapText="1"/>
      <protection/>
    </xf>
    <xf numFmtId="0" fontId="9" fillId="0" borderId="21" xfId="66" applyFont="1" applyFill="1" applyBorder="1" applyAlignment="1">
      <alignment horizontal="center" vertical="center" wrapText="1"/>
      <protection/>
    </xf>
    <xf numFmtId="0" fontId="9" fillId="0" borderId="22" xfId="66" applyFont="1" applyFill="1" applyBorder="1" applyAlignment="1">
      <alignment horizontal="center" vertical="center" wrapText="1"/>
      <protection/>
    </xf>
    <xf numFmtId="4" fontId="8" fillId="0" borderId="14" xfId="66" applyNumberFormat="1" applyFont="1" applyFill="1" applyBorder="1" applyAlignment="1">
      <alignment horizontal="center" vertical="center" wrapText="1"/>
      <protection/>
    </xf>
    <xf numFmtId="4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15" xfId="66" applyNumberFormat="1" applyFont="1" applyFill="1" applyBorder="1" applyAlignment="1">
      <alignment horizontal="center" vertical="center" wrapText="1"/>
      <protection/>
    </xf>
    <xf numFmtId="4" fontId="8" fillId="0" borderId="16" xfId="66" applyNumberFormat="1" applyFont="1" applyFill="1" applyBorder="1" applyAlignment="1">
      <alignment horizontal="center" vertical="center" wrapText="1"/>
      <protection/>
    </xf>
    <xf numFmtId="4" fontId="59" fillId="33" borderId="0" xfId="66" applyNumberFormat="1" applyFont="1" applyFill="1" applyBorder="1" applyAlignment="1">
      <alignment horizontal="left"/>
      <protection/>
    </xf>
    <xf numFmtId="14" fontId="5" fillId="33" borderId="14" xfId="0" applyNumberFormat="1" applyFont="1" applyFill="1" applyBorder="1" applyAlignment="1">
      <alignment horizontal="left" vertical="center" wrapText="1" readingOrder="1"/>
    </xf>
    <xf numFmtId="14" fontId="5" fillId="33" borderId="0" xfId="0" applyNumberFormat="1" applyFont="1" applyFill="1" applyBorder="1" applyAlignment="1">
      <alignment horizontal="left" vertical="center" wrapText="1" readingOrder="1"/>
    </xf>
    <xf numFmtId="14" fontId="5" fillId="33" borderId="17" xfId="0" applyNumberFormat="1" applyFont="1" applyFill="1" applyBorder="1" applyAlignment="1">
      <alignment horizontal="left" vertical="center" wrapText="1" readingOrder="1"/>
    </xf>
    <xf numFmtId="0" fontId="0" fillId="0" borderId="0" xfId="0" applyFont="1" applyAlignment="1">
      <alignment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Euro 2 2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Moeda 3" xfId="53"/>
    <cellStyle name="Neutra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_CRONOGRAMA" xfId="62"/>
    <cellStyle name="Normal_CRUZEI~1" xfId="63"/>
    <cellStyle name="Normal_Orçamento nº057-2003- Esc. Munic. AMPARO revisão" xfId="64"/>
    <cellStyle name="Normal_P_Getulio Vargas" xfId="65"/>
    <cellStyle name="Normal_P_Getulio Vargas 2" xfId="66"/>
    <cellStyle name="Normal_RUAS 3,4,7 e 8 R-1" xfId="67"/>
    <cellStyle name="Normal_RUAS 3,4,7 e 8 R-1 2 2" xfId="68"/>
    <cellStyle name="Nota" xfId="69"/>
    <cellStyle name="Percent" xfId="70"/>
    <cellStyle name="Porcentagem 2" xfId="71"/>
    <cellStyle name="Porcentagem 3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1 1" xfId="79"/>
    <cellStyle name="Título 1 1 1" xfId="80"/>
    <cellStyle name="Título 1 1_PLAN   (2)" xfId="81"/>
    <cellStyle name="Título 2" xfId="82"/>
    <cellStyle name="Título 3" xfId="83"/>
    <cellStyle name="Título 4" xfId="84"/>
    <cellStyle name="Total" xfId="85"/>
    <cellStyle name="Comma" xfId="86"/>
    <cellStyle name="Vírgula 2" xfId="87"/>
    <cellStyle name="Vírgula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171450</xdr:rowOff>
    </xdr:from>
    <xdr:to>
      <xdr:col>6</xdr:col>
      <xdr:colOff>2114550</xdr:colOff>
      <xdr:row>6</xdr:row>
      <xdr:rowOff>238125</xdr:rowOff>
    </xdr:to>
    <xdr:sp>
      <xdr:nvSpPr>
        <xdr:cNvPr id="1" name="Picture 2"/>
        <xdr:cNvSpPr>
          <a:spLocks noChangeAspect="1"/>
        </xdr:cNvSpPr>
      </xdr:nvSpPr>
      <xdr:spPr>
        <a:xfrm>
          <a:off x="12249150" y="1181100"/>
          <a:ext cx="207645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190500</xdr:rowOff>
    </xdr:from>
    <xdr:to>
      <xdr:col>1</xdr:col>
      <xdr:colOff>3162300</xdr:colOff>
      <xdr:row>5</xdr:row>
      <xdr:rowOff>209550</xdr:rowOff>
    </xdr:to>
    <xdr:sp>
      <xdr:nvSpPr>
        <xdr:cNvPr id="2" name="Picture 2"/>
        <xdr:cNvSpPr>
          <a:spLocks noChangeAspect="1"/>
        </xdr:cNvSpPr>
      </xdr:nvSpPr>
      <xdr:spPr>
        <a:xfrm>
          <a:off x="1724025" y="695325"/>
          <a:ext cx="22860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114300</xdr:rowOff>
    </xdr:from>
    <xdr:to>
      <xdr:col>1</xdr:col>
      <xdr:colOff>1143000</xdr:colOff>
      <xdr:row>7</xdr:row>
      <xdr:rowOff>161925</xdr:rowOff>
    </xdr:to>
    <xdr:sp>
      <xdr:nvSpPr>
        <xdr:cNvPr id="1" name="Picture 2"/>
        <xdr:cNvSpPr>
          <a:spLocks noChangeAspect="1"/>
        </xdr:cNvSpPr>
      </xdr:nvSpPr>
      <xdr:spPr>
        <a:xfrm>
          <a:off x="371475" y="114300"/>
          <a:ext cx="13811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114300</xdr:rowOff>
    </xdr:from>
    <xdr:to>
      <xdr:col>1</xdr:col>
      <xdr:colOff>1143000</xdr:colOff>
      <xdr:row>7</xdr:row>
      <xdr:rowOff>161925</xdr:rowOff>
    </xdr:to>
    <xdr:sp>
      <xdr:nvSpPr>
        <xdr:cNvPr id="1" name="Picture 2"/>
        <xdr:cNvSpPr>
          <a:spLocks noChangeAspect="1"/>
        </xdr:cNvSpPr>
      </xdr:nvSpPr>
      <xdr:spPr>
        <a:xfrm>
          <a:off x="371475" y="114300"/>
          <a:ext cx="13811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771525</xdr:colOff>
      <xdr:row>6</xdr:row>
      <xdr:rowOff>57150</xdr:rowOff>
    </xdr:to>
    <xdr:sp>
      <xdr:nvSpPr>
        <xdr:cNvPr id="1" name="Picture 2"/>
        <xdr:cNvSpPr>
          <a:spLocks noChangeAspect="1"/>
        </xdr:cNvSpPr>
      </xdr:nvSpPr>
      <xdr:spPr>
        <a:xfrm>
          <a:off x="0" y="0"/>
          <a:ext cx="13811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114300</xdr:rowOff>
    </xdr:from>
    <xdr:to>
      <xdr:col>1</xdr:col>
      <xdr:colOff>1143000</xdr:colOff>
      <xdr:row>7</xdr:row>
      <xdr:rowOff>161925</xdr:rowOff>
    </xdr:to>
    <xdr:sp>
      <xdr:nvSpPr>
        <xdr:cNvPr id="2" name="Picture 2"/>
        <xdr:cNvSpPr>
          <a:spLocks noChangeAspect="1"/>
        </xdr:cNvSpPr>
      </xdr:nvSpPr>
      <xdr:spPr>
        <a:xfrm>
          <a:off x="371475" y="114300"/>
          <a:ext cx="138112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6</xdr:row>
      <xdr:rowOff>57150</xdr:rowOff>
    </xdr:to>
    <xdr:sp>
      <xdr:nvSpPr>
        <xdr:cNvPr id="3" name="Picture 2"/>
        <xdr:cNvSpPr>
          <a:spLocks noChangeAspect="1"/>
        </xdr:cNvSpPr>
      </xdr:nvSpPr>
      <xdr:spPr>
        <a:xfrm>
          <a:off x="0" y="0"/>
          <a:ext cx="13811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114300</xdr:rowOff>
    </xdr:from>
    <xdr:to>
      <xdr:col>1</xdr:col>
      <xdr:colOff>1143000</xdr:colOff>
      <xdr:row>7</xdr:row>
      <xdr:rowOff>161925</xdr:rowOff>
    </xdr:to>
    <xdr:sp>
      <xdr:nvSpPr>
        <xdr:cNvPr id="4" name="Picture 2"/>
        <xdr:cNvSpPr>
          <a:spLocks noChangeAspect="1"/>
        </xdr:cNvSpPr>
      </xdr:nvSpPr>
      <xdr:spPr>
        <a:xfrm>
          <a:off x="371475" y="114300"/>
          <a:ext cx="138112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Zeros="0" view="pageBreakPreview" zoomScale="40" zoomScaleNormal="70" zoomScaleSheetLayoutView="40" zoomScalePageLayoutView="0" workbookViewId="0" topLeftCell="A2">
      <selection activeCell="D27" sqref="D27"/>
    </sheetView>
  </sheetViews>
  <sheetFormatPr defaultColWidth="8.8515625" defaultRowHeight="15"/>
  <cols>
    <col min="1" max="1" width="12.7109375" style="36" bestFit="1" customWidth="1"/>
    <col min="2" max="2" width="78.28125" style="36" bestFit="1" customWidth="1"/>
    <col min="3" max="3" width="18.00390625" style="36" bestFit="1" customWidth="1"/>
    <col min="4" max="4" width="29.421875" style="36" customWidth="1"/>
    <col min="5" max="5" width="16.28125" style="36" bestFit="1" customWidth="1"/>
    <col min="6" max="6" width="28.421875" style="36" bestFit="1" customWidth="1"/>
    <col min="7" max="7" width="33.140625" style="36" customWidth="1"/>
    <col min="8" max="8" width="21.28125" style="19" bestFit="1" customWidth="1"/>
    <col min="9" max="9" width="19.140625" style="28" bestFit="1" customWidth="1"/>
    <col min="10" max="16384" width="8.8515625" style="19" customWidth="1"/>
  </cols>
  <sheetData>
    <row r="1" spans="1:8" ht="39.75" customHeight="1">
      <c r="A1" s="135" t="s">
        <v>18</v>
      </c>
      <c r="B1" s="136"/>
      <c r="C1" s="136"/>
      <c r="D1" s="136"/>
      <c r="E1" s="136"/>
      <c r="F1" s="136"/>
      <c r="G1" s="17"/>
      <c r="H1" s="18"/>
    </row>
    <row r="2" spans="1:8" ht="39.75" customHeight="1">
      <c r="A2" s="137" t="s">
        <v>19</v>
      </c>
      <c r="B2" s="138"/>
      <c r="C2" s="138"/>
      <c r="D2" s="138"/>
      <c r="E2" s="138"/>
      <c r="F2" s="138"/>
      <c r="G2" s="20"/>
      <c r="H2" s="18"/>
    </row>
    <row r="3" spans="1:8" ht="39.75" customHeight="1">
      <c r="A3" s="137" t="s">
        <v>63</v>
      </c>
      <c r="B3" s="138"/>
      <c r="C3" s="138"/>
      <c r="D3" s="138"/>
      <c r="E3" s="138"/>
      <c r="F3" s="138"/>
      <c r="G3" s="20"/>
      <c r="H3" s="18"/>
    </row>
    <row r="4" spans="1:8" ht="39.75" customHeight="1">
      <c r="A4" s="139" t="s">
        <v>255</v>
      </c>
      <c r="B4" s="140"/>
      <c r="C4" s="140"/>
      <c r="D4" s="140"/>
      <c r="E4" s="140"/>
      <c r="F4" s="140"/>
      <c r="G4" s="20"/>
      <c r="H4" s="18"/>
    </row>
    <row r="5" spans="1:8" ht="39.75" customHeight="1">
      <c r="A5" s="141" t="s">
        <v>256</v>
      </c>
      <c r="B5" s="142"/>
      <c r="C5" s="142"/>
      <c r="D5" s="142"/>
      <c r="E5" s="142"/>
      <c r="F5" s="142"/>
      <c r="G5" s="20"/>
      <c r="H5" s="18"/>
    </row>
    <row r="6" spans="1:8" ht="39.75" customHeight="1">
      <c r="A6" s="146" t="s">
        <v>264</v>
      </c>
      <c r="B6" s="147"/>
      <c r="C6" s="147"/>
      <c r="D6" s="147"/>
      <c r="E6" s="147"/>
      <c r="F6" s="147"/>
      <c r="G6" s="20"/>
      <c r="H6" s="18"/>
    </row>
    <row r="7" spans="1:8" ht="39.75" customHeight="1">
      <c r="A7" s="148"/>
      <c r="B7" s="149"/>
      <c r="C7" s="149"/>
      <c r="D7" s="149"/>
      <c r="E7" s="149"/>
      <c r="F7" s="149"/>
      <c r="G7" s="21"/>
      <c r="H7" s="18"/>
    </row>
    <row r="8" spans="1:8" ht="39.75" customHeight="1">
      <c r="A8" s="143" t="s">
        <v>26</v>
      </c>
      <c r="B8" s="144"/>
      <c r="C8" s="144"/>
      <c r="D8" s="144"/>
      <c r="E8" s="144"/>
      <c r="F8" s="144"/>
      <c r="G8" s="145"/>
      <c r="H8" s="18"/>
    </row>
    <row r="9" spans="1:10" ht="39.75" customHeight="1">
      <c r="A9" s="129" t="s">
        <v>22</v>
      </c>
      <c r="B9" s="129" t="s">
        <v>27</v>
      </c>
      <c r="C9" s="118" t="s">
        <v>28</v>
      </c>
      <c r="D9" s="132"/>
      <c r="E9" s="132"/>
      <c r="F9" s="132"/>
      <c r="G9" s="22"/>
      <c r="H9" s="18"/>
      <c r="I9" s="37"/>
      <c r="J9" s="23"/>
    </row>
    <row r="10" spans="1:10" ht="39.75" customHeight="1">
      <c r="A10" s="130"/>
      <c r="B10" s="130"/>
      <c r="C10" s="118" t="s">
        <v>29</v>
      </c>
      <c r="D10" s="119"/>
      <c r="E10" s="118">
        <v>60</v>
      </c>
      <c r="F10" s="119"/>
      <c r="G10" s="22" t="s">
        <v>30</v>
      </c>
      <c r="H10" s="18"/>
      <c r="I10" s="37"/>
      <c r="J10" s="23"/>
    </row>
    <row r="11" spans="1:8" ht="39.75" customHeight="1">
      <c r="A11" s="131"/>
      <c r="B11" s="131"/>
      <c r="C11" s="24" t="s">
        <v>31</v>
      </c>
      <c r="D11" s="25" t="s">
        <v>32</v>
      </c>
      <c r="E11" s="24" t="s">
        <v>31</v>
      </c>
      <c r="F11" s="25" t="s">
        <v>32</v>
      </c>
      <c r="G11" s="22" t="s">
        <v>33</v>
      </c>
      <c r="H11" s="18"/>
    </row>
    <row r="12" spans="1:8" ht="39.75" customHeight="1">
      <c r="A12" s="126"/>
      <c r="B12" s="126"/>
      <c r="C12" s="26"/>
      <c r="D12" s="26"/>
      <c r="E12" s="78"/>
      <c r="F12" s="26"/>
      <c r="G12" s="27"/>
      <c r="H12" s="28"/>
    </row>
    <row r="13" spans="1:9" ht="39.75" customHeight="1">
      <c r="A13" s="29" t="s">
        <v>13</v>
      </c>
      <c r="B13" s="30" t="s">
        <v>41</v>
      </c>
      <c r="C13" s="31">
        <v>1</v>
      </c>
      <c r="D13" s="63">
        <f>C13*G13</f>
        <v>53430.9</v>
      </c>
      <c r="E13" s="79">
        <v>0</v>
      </c>
      <c r="F13" s="63">
        <f>E13*G13</f>
        <v>0</v>
      </c>
      <c r="G13" s="69">
        <v>53430.9</v>
      </c>
      <c r="H13" s="32" t="e">
        <f>C13+E13+#REF!+#REF!</f>
        <v>#REF!</v>
      </c>
      <c r="I13" s="38"/>
    </row>
    <row r="14" spans="1:9" ht="26.25">
      <c r="A14" s="29" t="s">
        <v>14</v>
      </c>
      <c r="B14" s="33" t="s">
        <v>174</v>
      </c>
      <c r="C14" s="31">
        <v>0.5</v>
      </c>
      <c r="D14" s="63">
        <f>C14*G14</f>
        <v>53793.424999999996</v>
      </c>
      <c r="E14" s="79">
        <v>0.5</v>
      </c>
      <c r="F14" s="63">
        <f>E14*G14</f>
        <v>53793.424999999996</v>
      </c>
      <c r="G14" s="69">
        <v>107586.84999999999</v>
      </c>
      <c r="H14" s="32" t="e">
        <f>C14+E14+#REF!+#REF!</f>
        <v>#REF!</v>
      </c>
      <c r="I14" s="38"/>
    </row>
    <row r="15" spans="1:9" ht="39.75" customHeight="1">
      <c r="A15" s="29" t="s">
        <v>15</v>
      </c>
      <c r="B15" s="30" t="s">
        <v>17</v>
      </c>
      <c r="C15" s="31">
        <v>0.3</v>
      </c>
      <c r="D15" s="63">
        <f>C15*G15</f>
        <v>4181.397</v>
      </c>
      <c r="E15" s="79">
        <v>0.7</v>
      </c>
      <c r="F15" s="63">
        <f>E15*G15</f>
        <v>9756.592999999999</v>
      </c>
      <c r="G15" s="69">
        <v>13937.99</v>
      </c>
      <c r="H15" s="32" t="e">
        <f>C15+E15+#REF!+#REF!</f>
        <v>#REF!</v>
      </c>
      <c r="I15" s="38"/>
    </row>
    <row r="16" spans="1:9" ht="39.75" customHeight="1">
      <c r="A16" s="29" t="s">
        <v>16</v>
      </c>
      <c r="B16" s="30" t="s">
        <v>34</v>
      </c>
      <c r="C16" s="31">
        <v>0.8</v>
      </c>
      <c r="D16" s="63">
        <f>C16*G16</f>
        <v>2756.856</v>
      </c>
      <c r="E16" s="79">
        <v>0.2</v>
      </c>
      <c r="F16" s="63">
        <f>E16*G16</f>
        <v>689.214</v>
      </c>
      <c r="G16" s="69">
        <v>3446.07</v>
      </c>
      <c r="H16" s="32" t="e">
        <f>C16+E16+#REF!+#REF!</f>
        <v>#REF!</v>
      </c>
      <c r="I16" s="38"/>
    </row>
    <row r="17" spans="1:8" ht="39.75" customHeight="1">
      <c r="A17" s="34"/>
      <c r="B17" s="35"/>
      <c r="C17" s="64"/>
      <c r="D17" s="64"/>
      <c r="E17" s="64"/>
      <c r="F17" s="64"/>
      <c r="G17" s="69">
        <f>SUM(G13:G16)</f>
        <v>178401.81</v>
      </c>
      <c r="H17" s="32"/>
    </row>
    <row r="18" spans="1:8" ht="39.75" customHeight="1">
      <c r="A18" s="127" t="s">
        <v>35</v>
      </c>
      <c r="B18" s="128"/>
      <c r="C18" s="120">
        <f>SUM(D13:D16)</f>
        <v>114162.578</v>
      </c>
      <c r="D18" s="121"/>
      <c r="E18" s="120">
        <f>SUM(F13:F16)</f>
        <v>64239.231999999996</v>
      </c>
      <c r="F18" s="121"/>
      <c r="G18" s="65"/>
      <c r="H18" s="28"/>
    </row>
    <row r="19" spans="1:8" ht="39.75" customHeight="1">
      <c r="A19" s="127" t="s">
        <v>36</v>
      </c>
      <c r="B19" s="128"/>
      <c r="C19" s="122">
        <f>C18</f>
        <v>114162.578</v>
      </c>
      <c r="D19" s="123"/>
      <c r="E19" s="122">
        <f>E18+C19</f>
        <v>178401.81</v>
      </c>
      <c r="F19" s="123"/>
      <c r="G19" s="66"/>
      <c r="H19" s="28"/>
    </row>
    <row r="20" spans="1:8" ht="39.75" customHeight="1">
      <c r="A20" s="133" t="s">
        <v>37</v>
      </c>
      <c r="B20" s="134"/>
      <c r="C20" s="124">
        <f>C18/G17</f>
        <v>0.6399182721296381</v>
      </c>
      <c r="D20" s="125"/>
      <c r="E20" s="124">
        <f>E18/G17</f>
        <v>0.36008172787036186</v>
      </c>
      <c r="F20" s="125"/>
      <c r="G20" s="67"/>
      <c r="H20" s="28"/>
    </row>
    <row r="21" spans="1:8" ht="39.75" customHeight="1">
      <c r="A21" s="133" t="s">
        <v>38</v>
      </c>
      <c r="B21" s="134"/>
      <c r="C21" s="124">
        <f>C20</f>
        <v>0.6399182721296381</v>
      </c>
      <c r="D21" s="125"/>
      <c r="E21" s="124">
        <f>E20+C21</f>
        <v>1</v>
      </c>
      <c r="F21" s="125"/>
      <c r="G21" s="68"/>
      <c r="H21" s="28"/>
    </row>
  </sheetData>
  <sheetProtection/>
  <mergeCells count="26">
    <mergeCell ref="C19:D19"/>
    <mergeCell ref="A1:F1"/>
    <mergeCell ref="A2:F2"/>
    <mergeCell ref="A3:F3"/>
    <mergeCell ref="A4:F4"/>
    <mergeCell ref="A5:F5"/>
    <mergeCell ref="A8:G8"/>
    <mergeCell ref="A6:F6"/>
    <mergeCell ref="A7:F7"/>
    <mergeCell ref="C9:F9"/>
    <mergeCell ref="C10:D10"/>
    <mergeCell ref="A21:B21"/>
    <mergeCell ref="C21:D21"/>
    <mergeCell ref="A20:B20"/>
    <mergeCell ref="C20:D20"/>
    <mergeCell ref="A19:B19"/>
    <mergeCell ref="E10:F10"/>
    <mergeCell ref="E18:F18"/>
    <mergeCell ref="E19:F19"/>
    <mergeCell ref="E20:F20"/>
    <mergeCell ref="E21:F21"/>
    <mergeCell ref="A12:B12"/>
    <mergeCell ref="A18:B18"/>
    <mergeCell ref="C18:D18"/>
    <mergeCell ref="A9:A11"/>
    <mergeCell ref="B9:B11"/>
  </mergeCells>
  <printOptions horizontalCentered="1" verticalCentered="1"/>
  <pageMargins left="0.2362204724409449" right="0.2362204724409449" top="0.35433070866141736" bottom="0.35433070866141736" header="0.1968503937007874" footer="0.1968503937007874"/>
  <pageSetup fitToHeight="0" horizontalDpi="300" verticalDpi="300" orientation="landscape" paperSize="9" scale="43" r:id="rId2"/>
  <headerFooter>
    <oddFooter>&amp;C&amp;14&amp;A&amp;R&amp;14Página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70" zoomScaleSheetLayoutView="70" zoomScalePageLayoutView="0" workbookViewId="0" topLeftCell="A1">
      <selection activeCell="C1" sqref="C1"/>
    </sheetView>
  </sheetViews>
  <sheetFormatPr defaultColWidth="9.140625" defaultRowHeight="15"/>
  <cols>
    <col min="2" max="2" width="23.421875" style="0" customWidth="1"/>
    <col min="3" max="3" width="90.42187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0" max="10" width="15.421875" style="0" customWidth="1"/>
  </cols>
  <sheetData>
    <row r="1" spans="1:7" ht="15.75">
      <c r="A1" s="2"/>
      <c r="B1" s="3"/>
      <c r="C1" s="4" t="s">
        <v>18</v>
      </c>
      <c r="D1" s="5"/>
      <c r="E1" s="6"/>
      <c r="F1" s="7"/>
      <c r="G1" s="8"/>
    </row>
    <row r="2" spans="1:7" ht="15.75">
      <c r="A2" s="9"/>
      <c r="B2" s="10"/>
      <c r="C2" s="11" t="s">
        <v>19</v>
      </c>
      <c r="D2" s="115" t="s">
        <v>100</v>
      </c>
      <c r="E2" s="116"/>
      <c r="F2" s="116"/>
      <c r="G2" s="117"/>
    </row>
    <row r="3" spans="1:7" ht="15.75">
      <c r="A3" s="9"/>
      <c r="B3" s="10"/>
      <c r="C3" s="11" t="s">
        <v>20</v>
      </c>
      <c r="D3" s="151">
        <v>44148</v>
      </c>
      <c r="E3" s="152"/>
      <c r="F3" s="152"/>
      <c r="G3" s="153"/>
    </row>
    <row r="4" spans="1:7" ht="15.75">
      <c r="A4" s="9"/>
      <c r="B4" s="10"/>
      <c r="C4" s="12" t="s">
        <v>255</v>
      </c>
      <c r="D4" s="151" t="s">
        <v>258</v>
      </c>
      <c r="E4" s="152"/>
      <c r="F4" s="152"/>
      <c r="G4" s="153"/>
    </row>
    <row r="5" spans="1:7" ht="23.25" customHeight="1">
      <c r="A5" s="9"/>
      <c r="B5" s="10"/>
      <c r="C5" s="41" t="s">
        <v>256</v>
      </c>
      <c r="D5" s="151" t="s">
        <v>259</v>
      </c>
      <c r="E5" s="152"/>
      <c r="F5" s="152"/>
      <c r="G5" s="153"/>
    </row>
    <row r="6" spans="1:8" ht="15.75">
      <c r="A6" s="9"/>
      <c r="B6" s="10"/>
      <c r="C6" s="13" t="s">
        <v>257</v>
      </c>
      <c r="D6" s="151" t="s">
        <v>260</v>
      </c>
      <c r="E6" s="152"/>
      <c r="F6" s="152"/>
      <c r="G6" s="153"/>
      <c r="H6" s="154"/>
    </row>
    <row r="7" spans="1:7" ht="15.75">
      <c r="A7" s="9"/>
      <c r="B7" s="10"/>
      <c r="C7" s="150"/>
      <c r="D7" s="151" t="s">
        <v>51</v>
      </c>
      <c r="E7" s="152"/>
      <c r="F7" s="152"/>
      <c r="G7" s="153"/>
    </row>
    <row r="8" spans="1:7" ht="15.75">
      <c r="A8" s="14"/>
      <c r="B8" s="15"/>
      <c r="C8" s="16"/>
      <c r="D8" s="151" t="s">
        <v>261</v>
      </c>
      <c r="E8" s="152"/>
      <c r="F8" s="152"/>
      <c r="G8" s="153"/>
    </row>
    <row r="9" spans="1:7" ht="15">
      <c r="A9" s="109" t="s">
        <v>21</v>
      </c>
      <c r="B9" s="110"/>
      <c r="C9" s="110"/>
      <c r="D9" s="110"/>
      <c r="E9" s="110"/>
      <c r="F9" s="110"/>
      <c r="G9" s="110"/>
    </row>
    <row r="10" spans="1:9" s="43" customFormat="1" ht="12.75" customHeight="1">
      <c r="A10" s="111" t="s">
        <v>22</v>
      </c>
      <c r="B10" s="112" t="s">
        <v>52</v>
      </c>
      <c r="C10" s="112" t="s">
        <v>23</v>
      </c>
      <c r="D10" s="111" t="s">
        <v>10</v>
      </c>
      <c r="E10" s="113" t="s">
        <v>24</v>
      </c>
      <c r="F10" s="114" t="s">
        <v>25</v>
      </c>
      <c r="G10" s="114"/>
      <c r="H10" s="114"/>
      <c r="I10" s="114"/>
    </row>
    <row r="11" spans="1:10" s="43" customFormat="1" ht="12.75" customHeight="1">
      <c r="A11" s="111"/>
      <c r="B11" s="112"/>
      <c r="C11" s="112"/>
      <c r="D11" s="111"/>
      <c r="E11" s="113"/>
      <c r="F11" s="44" t="s">
        <v>64</v>
      </c>
      <c r="G11" s="44" t="s">
        <v>65</v>
      </c>
      <c r="H11" s="44" t="s">
        <v>66</v>
      </c>
      <c r="I11" s="42" t="s">
        <v>67</v>
      </c>
      <c r="J11" s="43" t="s">
        <v>67</v>
      </c>
    </row>
    <row r="12" spans="1:9" s="39" customFormat="1" ht="15.75">
      <c r="A12" s="39" t="s">
        <v>13</v>
      </c>
      <c r="B12" s="46"/>
      <c r="C12" s="47" t="s">
        <v>41</v>
      </c>
      <c r="D12" s="47"/>
      <c r="E12" s="47"/>
      <c r="F12" s="47"/>
      <c r="G12" s="47"/>
      <c r="H12" s="47"/>
      <c r="I12" s="45"/>
    </row>
    <row r="13" spans="1:10" s="96" customFormat="1" ht="28.5">
      <c r="A13" s="88" t="s">
        <v>6</v>
      </c>
      <c r="B13" s="89" t="s">
        <v>221</v>
      </c>
      <c r="C13" s="90" t="s">
        <v>128</v>
      </c>
      <c r="D13" s="91" t="s">
        <v>2</v>
      </c>
      <c r="E13" s="92">
        <v>75</v>
      </c>
      <c r="F13" s="93">
        <f>TRUNC(G15,2)</f>
        <v>12.12</v>
      </c>
      <c r="G13" s="94">
        <f>TRUNC(F13*1.2247,2)</f>
        <v>14.84</v>
      </c>
      <c r="H13" s="94">
        <f>TRUNC(F13*E13,2)</f>
        <v>909</v>
      </c>
      <c r="I13" s="95">
        <f>TRUNC(E13*G13,2)</f>
        <v>1113</v>
      </c>
      <c r="J13" s="96">
        <v>1014</v>
      </c>
    </row>
    <row r="14" spans="1:9" s="60" customFormat="1" ht="28.5">
      <c r="A14" s="54"/>
      <c r="B14" s="55" t="s">
        <v>77</v>
      </c>
      <c r="C14" s="72" t="s">
        <v>78</v>
      </c>
      <c r="D14" s="56" t="s">
        <v>4</v>
      </c>
      <c r="E14" s="73">
        <v>0.7725</v>
      </c>
      <c r="F14" s="57">
        <f>TRUNC(15.69,2)</f>
        <v>15.69</v>
      </c>
      <c r="G14" s="58">
        <f>TRUNC(E14*F14,2)</f>
        <v>12.12</v>
      </c>
      <c r="H14" s="58"/>
      <c r="I14" s="59"/>
    </row>
    <row r="15" spans="1:9" s="60" customFormat="1" ht="14.25">
      <c r="A15" s="54"/>
      <c r="B15" s="55"/>
      <c r="C15" s="72"/>
      <c r="D15" s="56"/>
      <c r="E15" s="73" t="s">
        <v>5</v>
      </c>
      <c r="F15" s="57"/>
      <c r="G15" s="58">
        <f>TRUNC(SUM(G14:G14),2)</f>
        <v>12.12</v>
      </c>
      <c r="H15" s="58"/>
      <c r="I15" s="59"/>
    </row>
    <row r="16" spans="1:10" s="96" customFormat="1" ht="42.75">
      <c r="A16" s="88" t="s">
        <v>7</v>
      </c>
      <c r="B16" s="89" t="s">
        <v>222</v>
      </c>
      <c r="C16" s="90" t="s">
        <v>130</v>
      </c>
      <c r="D16" s="91" t="s">
        <v>1</v>
      </c>
      <c r="E16" s="92">
        <v>36.03</v>
      </c>
      <c r="F16" s="93">
        <f>TRUNC(G18,2)</f>
        <v>54.94</v>
      </c>
      <c r="G16" s="94">
        <f>TRUNC(F16*1.2247,2)</f>
        <v>67.28</v>
      </c>
      <c r="H16" s="94">
        <f>TRUNC(F16*E16,2)</f>
        <v>1979.48</v>
      </c>
      <c r="I16" s="95">
        <f>TRUNC(E16*G16,2)</f>
        <v>2424.09</v>
      </c>
      <c r="J16" s="96">
        <v>2210.08</v>
      </c>
    </row>
    <row r="17" spans="1:9" s="60" customFormat="1" ht="28.5">
      <c r="A17" s="54"/>
      <c r="B17" s="55" t="s">
        <v>77</v>
      </c>
      <c r="C17" s="72" t="s">
        <v>78</v>
      </c>
      <c r="D17" s="56" t="s">
        <v>4</v>
      </c>
      <c r="E17" s="73">
        <v>3.502</v>
      </c>
      <c r="F17" s="57">
        <f>TRUNC(15.69,2)</f>
        <v>15.69</v>
      </c>
      <c r="G17" s="58">
        <f>TRUNC(E17*F17,2)</f>
        <v>54.94</v>
      </c>
      <c r="H17" s="58"/>
      <c r="I17" s="59"/>
    </row>
    <row r="18" spans="1:9" s="60" customFormat="1" ht="14.25">
      <c r="A18" s="54"/>
      <c r="B18" s="55"/>
      <c r="C18" s="72"/>
      <c r="D18" s="56"/>
      <c r="E18" s="73" t="s">
        <v>5</v>
      </c>
      <c r="F18" s="57"/>
      <c r="G18" s="58">
        <f>TRUNC(SUM(G17:G17),2)</f>
        <v>54.94</v>
      </c>
      <c r="H18" s="58"/>
      <c r="I18" s="59"/>
    </row>
    <row r="19" spans="1:10" s="96" customFormat="1" ht="42.75">
      <c r="A19" s="88" t="s">
        <v>8</v>
      </c>
      <c r="B19" s="89" t="s">
        <v>223</v>
      </c>
      <c r="C19" s="90" t="s">
        <v>132</v>
      </c>
      <c r="D19" s="91" t="s">
        <v>1</v>
      </c>
      <c r="E19" s="92">
        <v>29.183</v>
      </c>
      <c r="F19" s="93">
        <f>TRUNC(G24,2)</f>
        <v>21.34</v>
      </c>
      <c r="G19" s="94">
        <f>TRUNC(F19*1.2247,2)</f>
        <v>26.13</v>
      </c>
      <c r="H19" s="94">
        <f>TRUNC(F19*E19,2)</f>
        <v>622.76</v>
      </c>
      <c r="I19" s="95">
        <f>TRUNC(E19*G19,2)</f>
        <v>762.55</v>
      </c>
      <c r="J19" s="96">
        <v>699.15</v>
      </c>
    </row>
    <row r="20" spans="1:9" s="60" customFormat="1" ht="28.5">
      <c r="A20" s="54"/>
      <c r="B20" s="55" t="s">
        <v>77</v>
      </c>
      <c r="C20" s="72" t="s">
        <v>78</v>
      </c>
      <c r="D20" s="56" t="s">
        <v>4</v>
      </c>
      <c r="E20" s="73">
        <v>1.09901</v>
      </c>
      <c r="F20" s="57">
        <f>TRUNC(15.69,2)</f>
        <v>15.69</v>
      </c>
      <c r="G20" s="58">
        <f>TRUNC(E20*F20,2)</f>
        <v>17.24</v>
      </c>
      <c r="H20" s="58"/>
      <c r="I20" s="59"/>
    </row>
    <row r="21" spans="1:9" s="60" customFormat="1" ht="28.5">
      <c r="A21" s="54"/>
      <c r="B21" s="55" t="s">
        <v>224</v>
      </c>
      <c r="C21" s="72" t="s">
        <v>225</v>
      </c>
      <c r="D21" s="56" t="s">
        <v>4</v>
      </c>
      <c r="E21" s="73">
        <v>0.13699</v>
      </c>
      <c r="F21" s="57">
        <f>TRUNC(24.35,2)</f>
        <v>24.35</v>
      </c>
      <c r="G21" s="58">
        <f>TRUNC(E21*F21,2)</f>
        <v>3.33</v>
      </c>
      <c r="H21" s="58"/>
      <c r="I21" s="59"/>
    </row>
    <row r="22" spans="1:9" s="60" customFormat="1" ht="14.25">
      <c r="A22" s="54"/>
      <c r="B22" s="55" t="s">
        <v>83</v>
      </c>
      <c r="C22" s="72" t="s">
        <v>84</v>
      </c>
      <c r="D22" s="56" t="s">
        <v>4</v>
      </c>
      <c r="E22" s="73">
        <v>0.033</v>
      </c>
      <c r="F22" s="57">
        <f>TRUNC(1.8173,2)</f>
        <v>1.81</v>
      </c>
      <c r="G22" s="58">
        <f>TRUNC(E22*F22,2)</f>
        <v>0.05</v>
      </c>
      <c r="H22" s="58"/>
      <c r="I22" s="59"/>
    </row>
    <row r="23" spans="1:9" s="60" customFormat="1" ht="14.25">
      <c r="A23" s="54"/>
      <c r="B23" s="55" t="s">
        <v>85</v>
      </c>
      <c r="C23" s="72" t="s">
        <v>86</v>
      </c>
      <c r="D23" s="56" t="s">
        <v>4</v>
      </c>
      <c r="E23" s="73">
        <v>0.1</v>
      </c>
      <c r="F23" s="57">
        <f>TRUNC(7.2702,2)</f>
        <v>7.27</v>
      </c>
      <c r="G23" s="58">
        <f>TRUNC(E23*F23,2)</f>
        <v>0.72</v>
      </c>
      <c r="H23" s="58"/>
      <c r="I23" s="59"/>
    </row>
    <row r="24" spans="1:9" s="60" customFormat="1" ht="14.25">
      <c r="A24" s="54"/>
      <c r="B24" s="55"/>
      <c r="C24" s="72"/>
      <c r="D24" s="56"/>
      <c r="E24" s="73" t="s">
        <v>5</v>
      </c>
      <c r="F24" s="57"/>
      <c r="G24" s="58">
        <f>TRUNC(SUM(G20:G23),2)</f>
        <v>21.34</v>
      </c>
      <c r="H24" s="58"/>
      <c r="I24" s="59"/>
    </row>
    <row r="25" spans="1:10" s="96" customFormat="1" ht="42.75">
      <c r="A25" s="88" t="s">
        <v>9</v>
      </c>
      <c r="B25" s="89" t="s">
        <v>226</v>
      </c>
      <c r="C25" s="90" t="s">
        <v>136</v>
      </c>
      <c r="D25" s="91" t="s">
        <v>1</v>
      </c>
      <c r="E25" s="92">
        <v>74.25</v>
      </c>
      <c r="F25" s="93">
        <f>TRUNC(G29,2)</f>
        <v>491.46</v>
      </c>
      <c r="G25" s="94">
        <f>TRUNC(F25*1.2247,2)</f>
        <v>601.89</v>
      </c>
      <c r="H25" s="94">
        <f>TRUNC(F25*E25,2)</f>
        <v>36490.9</v>
      </c>
      <c r="I25" s="95">
        <f>TRUNC(E25*G25,2)</f>
        <v>44690.33</v>
      </c>
      <c r="J25" s="96">
        <v>44686.62</v>
      </c>
    </row>
    <row r="26" spans="1:9" s="60" customFormat="1" ht="14.25">
      <c r="A26" s="54"/>
      <c r="B26" s="55" t="s">
        <v>227</v>
      </c>
      <c r="C26" s="72" t="s">
        <v>228</v>
      </c>
      <c r="D26" s="56" t="s">
        <v>1</v>
      </c>
      <c r="E26" s="73">
        <v>1</v>
      </c>
      <c r="F26" s="57">
        <f>TRUNC(298.6701,2)</f>
        <v>298.67</v>
      </c>
      <c r="G26" s="58">
        <f>TRUNC(E26*F26,2)</f>
        <v>298.67</v>
      </c>
      <c r="H26" s="58"/>
      <c r="I26" s="59"/>
    </row>
    <row r="27" spans="1:9" s="60" customFormat="1" ht="14.25">
      <c r="A27" s="54"/>
      <c r="B27" s="55" t="s">
        <v>229</v>
      </c>
      <c r="C27" s="72" t="s">
        <v>230</v>
      </c>
      <c r="D27" s="56" t="s">
        <v>1</v>
      </c>
      <c r="E27" s="73">
        <v>1</v>
      </c>
      <c r="F27" s="57">
        <f>TRUNC(115.5551,2)</f>
        <v>115.55</v>
      </c>
      <c r="G27" s="58">
        <f>TRUNC(E27*F27,2)</f>
        <v>115.55</v>
      </c>
      <c r="H27" s="58"/>
      <c r="I27" s="59"/>
    </row>
    <row r="28" spans="1:9" s="60" customFormat="1" ht="14.25">
      <c r="A28" s="54"/>
      <c r="B28" s="55" t="s">
        <v>231</v>
      </c>
      <c r="C28" s="72" t="s">
        <v>232</v>
      </c>
      <c r="D28" s="56" t="s">
        <v>1</v>
      </c>
      <c r="E28" s="73">
        <v>1</v>
      </c>
      <c r="F28" s="57">
        <f>TRUNC(77.2491,2)</f>
        <v>77.24</v>
      </c>
      <c r="G28" s="58">
        <f>TRUNC(E28*F28,2)</f>
        <v>77.24</v>
      </c>
      <c r="H28" s="58"/>
      <c r="I28" s="59"/>
    </row>
    <row r="29" spans="1:9" s="60" customFormat="1" ht="14.25">
      <c r="A29" s="54"/>
      <c r="B29" s="55"/>
      <c r="C29" s="72"/>
      <c r="D29" s="56"/>
      <c r="E29" s="73" t="s">
        <v>5</v>
      </c>
      <c r="F29" s="57"/>
      <c r="G29" s="58">
        <f>TRUNC(SUM(G26:G28),2)</f>
        <v>491.46</v>
      </c>
      <c r="H29" s="58"/>
      <c r="I29" s="59"/>
    </row>
    <row r="30" spans="1:10" s="96" customFormat="1" ht="71.25">
      <c r="A30" s="88" t="s">
        <v>90</v>
      </c>
      <c r="B30" s="89" t="s">
        <v>233</v>
      </c>
      <c r="C30" s="90" t="s">
        <v>144</v>
      </c>
      <c r="D30" s="91" t="s">
        <v>3</v>
      </c>
      <c r="E30" s="92">
        <v>53.36</v>
      </c>
      <c r="F30" s="93">
        <f>TRUNC(G34,2)</f>
        <v>4.32</v>
      </c>
      <c r="G30" s="94">
        <f>TRUNC(F30*1.2247,2)</f>
        <v>5.29</v>
      </c>
      <c r="H30" s="94">
        <f>TRUNC(F30*E30,2)</f>
        <v>230.51</v>
      </c>
      <c r="I30" s="95">
        <f>TRUNC(E30*G30,2)</f>
        <v>282.27</v>
      </c>
      <c r="J30" s="96">
        <v>296.68</v>
      </c>
    </row>
    <row r="31" spans="1:9" s="60" customFormat="1" ht="14.25">
      <c r="A31" s="54"/>
      <c r="B31" s="55" t="s">
        <v>145</v>
      </c>
      <c r="C31" s="72" t="s">
        <v>146</v>
      </c>
      <c r="D31" s="56" t="s">
        <v>3</v>
      </c>
      <c r="E31" s="73">
        <v>0.55</v>
      </c>
      <c r="F31" s="57">
        <f>TRUNC(3.702,2)</f>
        <v>3.7</v>
      </c>
      <c r="G31" s="58">
        <f>TRUNC(E31*F31,2)</f>
        <v>2.03</v>
      </c>
      <c r="H31" s="58"/>
      <c r="I31" s="59"/>
    </row>
    <row r="32" spans="1:9" s="60" customFormat="1" ht="14.25">
      <c r="A32" s="54"/>
      <c r="B32" s="55" t="s">
        <v>147</v>
      </c>
      <c r="C32" s="72" t="s">
        <v>148</v>
      </c>
      <c r="D32" s="56" t="s">
        <v>3</v>
      </c>
      <c r="E32" s="73">
        <v>0.55</v>
      </c>
      <c r="F32" s="57">
        <f>TRUNC(3.8403,2)</f>
        <v>3.84</v>
      </c>
      <c r="G32" s="58">
        <f>TRUNC(E32*F32,2)</f>
        <v>2.11</v>
      </c>
      <c r="H32" s="58"/>
      <c r="I32" s="59"/>
    </row>
    <row r="33" spans="1:9" s="60" customFormat="1" ht="14.25">
      <c r="A33" s="54"/>
      <c r="B33" s="55" t="s">
        <v>149</v>
      </c>
      <c r="C33" s="72" t="s">
        <v>150</v>
      </c>
      <c r="D33" s="56" t="s">
        <v>3</v>
      </c>
      <c r="E33" s="73">
        <v>0.03</v>
      </c>
      <c r="F33" s="57">
        <f>TRUNC(6.1083,2)</f>
        <v>6.1</v>
      </c>
      <c r="G33" s="58">
        <f>TRUNC(E33*F33,2)</f>
        <v>0.18</v>
      </c>
      <c r="H33" s="58"/>
      <c r="I33" s="59"/>
    </row>
    <row r="34" spans="1:9" s="60" customFormat="1" ht="14.25">
      <c r="A34" s="54"/>
      <c r="B34" s="55"/>
      <c r="C34" s="72"/>
      <c r="D34" s="56"/>
      <c r="E34" s="73" t="s">
        <v>5</v>
      </c>
      <c r="F34" s="57"/>
      <c r="G34" s="58">
        <f>TRUNC(SUM(G31:G33),2)</f>
        <v>4.32</v>
      </c>
      <c r="H34" s="58"/>
      <c r="I34" s="59"/>
    </row>
    <row r="35" spans="1:10" s="96" customFormat="1" ht="28.5">
      <c r="A35" s="88" t="s">
        <v>91</v>
      </c>
      <c r="B35" s="89" t="s">
        <v>234</v>
      </c>
      <c r="C35" s="90" t="s">
        <v>152</v>
      </c>
      <c r="D35" s="91" t="s">
        <v>3</v>
      </c>
      <c r="E35" s="92">
        <v>53.36</v>
      </c>
      <c r="F35" s="93">
        <f>TRUNC(G41,2)</f>
        <v>16.09</v>
      </c>
      <c r="G35" s="94">
        <f>TRUNC(F35*1.2247,2)</f>
        <v>19.7</v>
      </c>
      <c r="H35" s="94">
        <f>TRUNC(F35*E35,2)</f>
        <v>858.56</v>
      </c>
      <c r="I35" s="95">
        <f>TRUNC(E35*G35,2)</f>
        <v>1051.19</v>
      </c>
      <c r="J35" s="96">
        <v>1040.52</v>
      </c>
    </row>
    <row r="36" spans="1:9" s="60" customFormat="1" ht="28.5">
      <c r="A36" s="54"/>
      <c r="B36" s="55" t="s">
        <v>235</v>
      </c>
      <c r="C36" s="72" t="s">
        <v>154</v>
      </c>
      <c r="D36" s="56" t="s">
        <v>3</v>
      </c>
      <c r="E36" s="73">
        <v>0.025</v>
      </c>
      <c r="F36" s="57">
        <f>TRUNC(14.5,2)</f>
        <v>14.5</v>
      </c>
      <c r="G36" s="58">
        <f aca="true" t="shared" si="0" ref="G35:G40">TRUNC(E36*F36,2)</f>
        <v>0.36</v>
      </c>
      <c r="H36" s="58"/>
      <c r="I36" s="59"/>
    </row>
    <row r="37" spans="1:9" s="60" customFormat="1" ht="28.5">
      <c r="A37" s="54"/>
      <c r="B37" s="55" t="s">
        <v>236</v>
      </c>
      <c r="C37" s="72" t="s">
        <v>156</v>
      </c>
      <c r="D37" s="56" t="s">
        <v>10</v>
      </c>
      <c r="E37" s="73">
        <v>1.9665</v>
      </c>
      <c r="F37" s="57">
        <f>TRUNC(0.27,2)</f>
        <v>0.27</v>
      </c>
      <c r="G37" s="58">
        <f t="shared" si="0"/>
        <v>0.53</v>
      </c>
      <c r="H37" s="58"/>
      <c r="I37" s="59"/>
    </row>
    <row r="38" spans="1:9" s="60" customFormat="1" ht="14.25">
      <c r="A38" s="54"/>
      <c r="B38" s="55" t="s">
        <v>120</v>
      </c>
      <c r="C38" s="72" t="s">
        <v>98</v>
      </c>
      <c r="D38" s="56" t="s">
        <v>4</v>
      </c>
      <c r="E38" s="73">
        <v>0.1945</v>
      </c>
      <c r="F38" s="57">
        <f>TRUNC(28.1,2)</f>
        <v>28.1</v>
      </c>
      <c r="G38" s="58">
        <f t="shared" si="0"/>
        <v>5.46</v>
      </c>
      <c r="H38" s="58"/>
      <c r="I38" s="59"/>
    </row>
    <row r="39" spans="1:9" s="60" customFormat="1" ht="14.25">
      <c r="A39" s="54"/>
      <c r="B39" s="55" t="s">
        <v>121</v>
      </c>
      <c r="C39" s="72" t="s">
        <v>99</v>
      </c>
      <c r="D39" s="56" t="s">
        <v>4</v>
      </c>
      <c r="E39" s="73">
        <v>0.0635</v>
      </c>
      <c r="F39" s="57">
        <f>TRUNC(21.65,2)</f>
        <v>21.65</v>
      </c>
      <c r="G39" s="58">
        <f t="shared" si="0"/>
        <v>1.37</v>
      </c>
      <c r="H39" s="58"/>
      <c r="I39" s="59"/>
    </row>
    <row r="40" spans="1:9" s="60" customFormat="1" ht="28.5">
      <c r="A40" s="54"/>
      <c r="B40" s="55" t="s">
        <v>237</v>
      </c>
      <c r="C40" s="72" t="s">
        <v>238</v>
      </c>
      <c r="D40" s="56" t="s">
        <v>3</v>
      </c>
      <c r="E40" s="73">
        <v>1</v>
      </c>
      <c r="F40" s="57">
        <f>TRUNC(8.37,2)</f>
        <v>8.37</v>
      </c>
      <c r="G40" s="58">
        <f t="shared" si="0"/>
        <v>8.37</v>
      </c>
      <c r="H40" s="58"/>
      <c r="I40" s="59"/>
    </row>
    <row r="41" spans="1:9" s="60" customFormat="1" ht="14.25">
      <c r="A41" s="54"/>
      <c r="B41" s="55"/>
      <c r="C41" s="72"/>
      <c r="D41" s="56"/>
      <c r="E41" s="73" t="s">
        <v>5</v>
      </c>
      <c r="F41" s="57"/>
      <c r="G41" s="58">
        <f>TRUNC(SUM(G36:G40),2)</f>
        <v>16.09</v>
      </c>
      <c r="H41" s="58"/>
      <c r="I41" s="59"/>
    </row>
    <row r="42" spans="1:10" s="96" customFormat="1" ht="57">
      <c r="A42" s="88" t="s">
        <v>161</v>
      </c>
      <c r="B42" s="89" t="s">
        <v>239</v>
      </c>
      <c r="C42" s="90" t="s">
        <v>160</v>
      </c>
      <c r="D42" s="91" t="s">
        <v>3</v>
      </c>
      <c r="E42" s="92">
        <v>81.87</v>
      </c>
      <c r="F42" s="93">
        <f>TRUNC(G48,2)</f>
        <v>13.6</v>
      </c>
      <c r="G42" s="94">
        <f>TRUNC(F42*1.2247,2)</f>
        <v>16.65</v>
      </c>
      <c r="H42" s="94">
        <f>TRUNC(F42*E42,2)</f>
        <v>1113.43</v>
      </c>
      <c r="I42" s="95">
        <f>TRUNC(E42*G42,2)</f>
        <v>1363.13</v>
      </c>
      <c r="J42" s="96">
        <v>1407.34</v>
      </c>
    </row>
    <row r="43" spans="1:9" s="60" customFormat="1" ht="28.5">
      <c r="A43" s="54"/>
      <c r="B43" s="55" t="s">
        <v>236</v>
      </c>
      <c r="C43" s="72" t="s">
        <v>156</v>
      </c>
      <c r="D43" s="56" t="s">
        <v>10</v>
      </c>
      <c r="E43" s="108">
        <v>1.9665</v>
      </c>
      <c r="F43" s="57">
        <v>0.27</v>
      </c>
      <c r="G43" s="58">
        <f aca="true" t="shared" si="1" ref="G42:G47">TRUNC(E43*F43,2)</f>
        <v>0.53</v>
      </c>
      <c r="H43" s="58"/>
      <c r="I43" s="59"/>
    </row>
    <row r="44" spans="1:9" s="60" customFormat="1" ht="28.5">
      <c r="A44" s="54"/>
      <c r="B44" s="55" t="s">
        <v>235</v>
      </c>
      <c r="C44" s="72" t="s">
        <v>154</v>
      </c>
      <c r="D44" s="56" t="s">
        <v>3</v>
      </c>
      <c r="E44" s="107">
        <v>0.025</v>
      </c>
      <c r="F44" s="57">
        <v>14.5</v>
      </c>
      <c r="G44" s="58">
        <f t="shared" si="1"/>
        <v>0.36</v>
      </c>
      <c r="H44" s="58"/>
      <c r="I44" s="59"/>
    </row>
    <row r="45" spans="1:11" s="60" customFormat="1" ht="14.25">
      <c r="A45" s="54"/>
      <c r="B45" s="55" t="s">
        <v>240</v>
      </c>
      <c r="C45" s="72" t="s">
        <v>170</v>
      </c>
      <c r="D45" s="56" t="s">
        <v>4</v>
      </c>
      <c r="E45" s="107">
        <v>0.0635</v>
      </c>
      <c r="F45" s="57">
        <v>12.69</v>
      </c>
      <c r="G45" s="58">
        <f t="shared" si="1"/>
        <v>0.8</v>
      </c>
      <c r="H45" s="58"/>
      <c r="I45" s="59"/>
      <c r="K45" s="60" t="s">
        <v>173</v>
      </c>
    </row>
    <row r="46" spans="1:9" s="60" customFormat="1" ht="14.25">
      <c r="A46" s="54"/>
      <c r="B46" s="55" t="s">
        <v>241</v>
      </c>
      <c r="C46" s="72" t="s">
        <v>172</v>
      </c>
      <c r="D46" s="56" t="s">
        <v>4</v>
      </c>
      <c r="E46" s="107">
        <v>0.1945</v>
      </c>
      <c r="F46" s="57">
        <v>18.21</v>
      </c>
      <c r="G46" s="58">
        <f t="shared" si="1"/>
        <v>3.54</v>
      </c>
      <c r="H46" s="58"/>
      <c r="I46" s="59"/>
    </row>
    <row r="47" spans="1:9" s="60" customFormat="1" ht="28.5">
      <c r="A47" s="54"/>
      <c r="B47" s="55" t="s">
        <v>237</v>
      </c>
      <c r="C47" s="72" t="s">
        <v>168</v>
      </c>
      <c r="D47" s="56" t="s">
        <v>3</v>
      </c>
      <c r="E47" s="107">
        <v>1</v>
      </c>
      <c r="F47" s="57">
        <f>TRUNC(8.37601,2)</f>
        <v>8.37</v>
      </c>
      <c r="G47" s="58">
        <f t="shared" si="1"/>
        <v>8.37</v>
      </c>
      <c r="H47" s="58"/>
      <c r="I47" s="59"/>
    </row>
    <row r="48" spans="1:9" s="60" customFormat="1" ht="14.25">
      <c r="A48" s="54"/>
      <c r="B48" s="55"/>
      <c r="C48" s="72"/>
      <c r="D48" s="56"/>
      <c r="E48" s="73"/>
      <c r="F48" s="57"/>
      <c r="G48" s="58">
        <f>TRUNC(SUM(G43:G47),2)</f>
        <v>13.6</v>
      </c>
      <c r="H48" s="58"/>
      <c r="I48" s="59"/>
    </row>
    <row r="49" spans="1:10" s="96" customFormat="1" ht="57">
      <c r="A49" s="88" t="s">
        <v>124</v>
      </c>
      <c r="B49" s="89" t="s">
        <v>242</v>
      </c>
      <c r="C49" s="90" t="s">
        <v>163</v>
      </c>
      <c r="D49" s="91" t="s">
        <v>0</v>
      </c>
      <c r="E49" s="92">
        <v>22.79</v>
      </c>
      <c r="F49" s="93">
        <f>TRUNC(G54,2)</f>
        <v>62.5</v>
      </c>
      <c r="G49" s="94">
        <f>TRUNC(F49*1.2247,2)</f>
        <v>76.54</v>
      </c>
      <c r="H49" s="94">
        <f>TRUNC(F49*E49,2)</f>
        <v>1424.37</v>
      </c>
      <c r="I49" s="95">
        <f>TRUNC(E49*G49,2)</f>
        <v>1744.34</v>
      </c>
      <c r="J49" s="96">
        <v>1703.78</v>
      </c>
    </row>
    <row r="50" spans="1:9" s="60" customFormat="1" ht="14.25">
      <c r="A50" s="54"/>
      <c r="B50" s="55" t="s">
        <v>164</v>
      </c>
      <c r="C50" s="72" t="s">
        <v>165</v>
      </c>
      <c r="D50" s="56" t="s">
        <v>10</v>
      </c>
      <c r="E50" s="73">
        <v>13</v>
      </c>
      <c r="F50" s="57">
        <f>TRUNC(2.02,2)</f>
        <v>2.02</v>
      </c>
      <c r="G50" s="58">
        <f>TRUNC(E50*F50,2)</f>
        <v>26.26</v>
      </c>
      <c r="H50" s="58"/>
      <c r="I50" s="59"/>
    </row>
    <row r="51" spans="1:9" s="60" customFormat="1" ht="28.5">
      <c r="A51" s="54"/>
      <c r="B51" s="55" t="s">
        <v>77</v>
      </c>
      <c r="C51" s="72" t="s">
        <v>78</v>
      </c>
      <c r="D51" s="56" t="s">
        <v>4</v>
      </c>
      <c r="E51" s="73">
        <v>0.8549</v>
      </c>
      <c r="F51" s="57">
        <f>TRUNC(15.69,2)</f>
        <v>15.69</v>
      </c>
      <c r="G51" s="58">
        <f>TRUNC(E51*F51,2)</f>
        <v>13.41</v>
      </c>
      <c r="H51" s="58"/>
      <c r="I51" s="59"/>
    </row>
    <row r="52" spans="1:9" s="60" customFormat="1" ht="14.25">
      <c r="A52" s="54"/>
      <c r="B52" s="55" t="s">
        <v>81</v>
      </c>
      <c r="C52" s="72" t="s">
        <v>82</v>
      </c>
      <c r="D52" s="56" t="s">
        <v>4</v>
      </c>
      <c r="E52" s="73">
        <v>0.8549</v>
      </c>
      <c r="F52" s="57">
        <f>TRUNC(21.67,2)</f>
        <v>21.67</v>
      </c>
      <c r="G52" s="58">
        <f>TRUNC(E52*F52,2)</f>
        <v>18.52</v>
      </c>
      <c r="H52" s="58"/>
      <c r="I52" s="59"/>
    </row>
    <row r="53" spans="1:9" s="60" customFormat="1" ht="14.25">
      <c r="A53" s="54"/>
      <c r="B53" s="55" t="s">
        <v>243</v>
      </c>
      <c r="C53" s="72" t="s">
        <v>244</v>
      </c>
      <c r="D53" s="56" t="s">
        <v>1</v>
      </c>
      <c r="E53" s="73">
        <v>0.015</v>
      </c>
      <c r="F53" s="57">
        <f>TRUNC(287.8044,2)</f>
        <v>287.8</v>
      </c>
      <c r="G53" s="58">
        <f>TRUNC(E53*F53,2)</f>
        <v>4.31</v>
      </c>
      <c r="H53" s="58"/>
      <c r="I53" s="59"/>
    </row>
    <row r="54" spans="1:9" s="60" customFormat="1" ht="14.25">
      <c r="A54" s="54"/>
      <c r="B54" s="55"/>
      <c r="C54" s="72"/>
      <c r="D54" s="56"/>
      <c r="E54" s="73" t="s">
        <v>5</v>
      </c>
      <c r="F54" s="57"/>
      <c r="G54" s="58">
        <f>TRUNC(SUM(G50:G53),2)</f>
        <v>62.5</v>
      </c>
      <c r="H54" s="58"/>
      <c r="I54" s="59"/>
    </row>
    <row r="55" spans="1:10" s="40" customFormat="1" ht="15.75">
      <c r="A55" s="48" t="s">
        <v>42</v>
      </c>
      <c r="B55" s="50"/>
      <c r="C55" s="49"/>
      <c r="D55" s="50"/>
      <c r="E55" s="50"/>
      <c r="F55" s="50"/>
      <c r="G55" s="50" t="s">
        <v>46</v>
      </c>
      <c r="H55" s="52">
        <f>H30+H25+H19+H16+H13+H35+H42+H49</f>
        <v>43629.01000000001</v>
      </c>
      <c r="I55" s="52">
        <f>I30+I25+I19+I16+I13+I35+I42+I49</f>
        <v>53430.9</v>
      </c>
      <c r="J55" s="40">
        <v>53058.17</v>
      </c>
    </row>
    <row r="56" spans="1:9" s="39" customFormat="1" ht="15.75">
      <c r="A56" s="39" t="s">
        <v>14</v>
      </c>
      <c r="B56" s="46"/>
      <c r="C56" s="47" t="s">
        <v>174</v>
      </c>
      <c r="D56" s="47"/>
      <c r="E56" s="47"/>
      <c r="F56" s="47"/>
      <c r="G56" s="47"/>
      <c r="H56" s="47"/>
      <c r="I56" s="45"/>
    </row>
    <row r="57" spans="1:10" s="96" customFormat="1" ht="42.75">
      <c r="A57" s="88" t="s">
        <v>43</v>
      </c>
      <c r="B57" s="89" t="s">
        <v>109</v>
      </c>
      <c r="C57" s="90" t="s">
        <v>96</v>
      </c>
      <c r="D57" s="91" t="s">
        <v>0</v>
      </c>
      <c r="E57" s="92">
        <v>422.94</v>
      </c>
      <c r="F57" s="93">
        <f>TRUNC(G65,2)</f>
        <v>186.9</v>
      </c>
      <c r="G57" s="94">
        <f>TRUNC(F57*1.2247,2)</f>
        <v>228.89</v>
      </c>
      <c r="H57" s="94">
        <f>TRUNC(F57*E57,2)</f>
        <v>79047.48</v>
      </c>
      <c r="I57" s="95">
        <f>TRUNC(E57*G57,2)</f>
        <v>96806.73</v>
      </c>
      <c r="J57" s="96">
        <v>12818.98</v>
      </c>
    </row>
    <row r="58" spans="1:9" s="60" customFormat="1" ht="28.5">
      <c r="A58" s="54"/>
      <c r="B58" s="55" t="s">
        <v>118</v>
      </c>
      <c r="C58" s="72" t="s">
        <v>114</v>
      </c>
      <c r="D58" s="56" t="s">
        <v>3</v>
      </c>
      <c r="E58" s="73">
        <v>0.15</v>
      </c>
      <c r="F58" s="57">
        <f>TRUNC(16.84,2)</f>
        <v>16.84</v>
      </c>
      <c r="G58" s="58">
        <f>TRUNC(E58*F58,2)</f>
        <v>2.52</v>
      </c>
      <c r="H58" s="58"/>
      <c r="I58" s="59"/>
    </row>
    <row r="59" spans="1:9" s="60" customFormat="1" ht="28.5">
      <c r="A59" s="54"/>
      <c r="B59" s="55" t="s">
        <v>119</v>
      </c>
      <c r="C59" s="72" t="s">
        <v>116</v>
      </c>
      <c r="D59" s="56" t="s">
        <v>3</v>
      </c>
      <c r="E59" s="73">
        <v>0.07</v>
      </c>
      <c r="F59" s="57">
        <f>TRUNC(14.5,2)</f>
        <v>14.5</v>
      </c>
      <c r="G59" s="58">
        <f>TRUNC(E59*F59,2)</f>
        <v>1.01</v>
      </c>
      <c r="H59" s="58"/>
      <c r="I59" s="59"/>
    </row>
    <row r="60" spans="1:9" s="60" customFormat="1" ht="15">
      <c r="A60" s="54"/>
      <c r="B60" s="103" t="s">
        <v>177</v>
      </c>
      <c r="C60" s="82" t="s">
        <v>178</v>
      </c>
      <c r="D60" s="56" t="s">
        <v>0</v>
      </c>
      <c r="E60" s="73">
        <v>1.05</v>
      </c>
      <c r="F60" s="57">
        <v>20.59</v>
      </c>
      <c r="G60" s="58">
        <f>TRUNC(E60*F60,2)</f>
        <v>21.61</v>
      </c>
      <c r="H60" s="58"/>
      <c r="I60" s="59"/>
    </row>
    <row r="61" spans="1:9" s="60" customFormat="1" ht="28.5">
      <c r="A61" s="54"/>
      <c r="B61" s="55" t="s">
        <v>110</v>
      </c>
      <c r="C61" s="72" t="s">
        <v>70</v>
      </c>
      <c r="D61" s="56" t="s">
        <v>2</v>
      </c>
      <c r="E61" s="73">
        <v>1.68</v>
      </c>
      <c r="F61" s="57">
        <f>TRUNC(59.31,2)</f>
        <v>59.31</v>
      </c>
      <c r="G61" s="58">
        <f>TRUNC(E61*F61,2)</f>
        <v>99.64</v>
      </c>
      <c r="H61" s="58"/>
      <c r="I61" s="59"/>
    </row>
    <row r="62" spans="1:9" s="60" customFormat="1" ht="28.5">
      <c r="A62" s="54"/>
      <c r="B62" s="55" t="s">
        <v>245</v>
      </c>
      <c r="C62" s="72" t="s">
        <v>176</v>
      </c>
      <c r="D62" s="56" t="s">
        <v>0</v>
      </c>
      <c r="E62" s="73">
        <v>1.05</v>
      </c>
      <c r="F62" s="57">
        <f>TRUNC(24.59,2)</f>
        <v>24.59</v>
      </c>
      <c r="G62" s="58">
        <f>TRUNC(E62*F62,2)</f>
        <v>25.81</v>
      </c>
      <c r="H62" s="58"/>
      <c r="I62" s="59"/>
    </row>
    <row r="63" spans="1:9" s="60" customFormat="1" ht="14.25">
      <c r="A63" s="54"/>
      <c r="B63" s="55" t="s">
        <v>108</v>
      </c>
      <c r="C63" s="72" t="s">
        <v>71</v>
      </c>
      <c r="D63" s="56" t="s">
        <v>4</v>
      </c>
      <c r="E63" s="73">
        <v>1</v>
      </c>
      <c r="F63" s="57">
        <f>TRUNC(22.26,2)</f>
        <v>22.26</v>
      </c>
      <c r="G63" s="58">
        <f>TRUNC(E63*F63,2)</f>
        <v>22.26</v>
      </c>
      <c r="H63" s="58"/>
      <c r="I63" s="59"/>
    </row>
    <row r="64" spans="1:9" s="60" customFormat="1" ht="14.25">
      <c r="A64" s="54"/>
      <c r="B64" s="55" t="s">
        <v>111</v>
      </c>
      <c r="C64" s="72" t="s">
        <v>72</v>
      </c>
      <c r="D64" s="56" t="s">
        <v>4</v>
      </c>
      <c r="E64" s="73">
        <v>0.5</v>
      </c>
      <c r="F64" s="57">
        <f>TRUNC(28.1,2)</f>
        <v>28.1</v>
      </c>
      <c r="G64" s="58">
        <f>TRUNC(E64*F64,2)</f>
        <v>14.05</v>
      </c>
      <c r="H64" s="58"/>
      <c r="I64" s="59"/>
    </row>
    <row r="65" spans="1:9" s="60" customFormat="1" ht="14.25">
      <c r="A65" s="54"/>
      <c r="B65" s="55"/>
      <c r="C65" s="72"/>
      <c r="D65" s="56"/>
      <c r="E65" s="73" t="s">
        <v>5</v>
      </c>
      <c r="F65" s="57"/>
      <c r="G65" s="58">
        <f>TRUNC(SUM(G58:G64),2)</f>
        <v>186.9</v>
      </c>
      <c r="H65" s="58"/>
      <c r="I65" s="59"/>
    </row>
    <row r="66" spans="1:10" s="96" customFormat="1" ht="71.25">
      <c r="A66" s="88" t="s">
        <v>92</v>
      </c>
      <c r="B66" s="89" t="s">
        <v>246</v>
      </c>
      <c r="C66" s="90" t="s">
        <v>180</v>
      </c>
      <c r="D66" s="91" t="s">
        <v>2</v>
      </c>
      <c r="E66" s="92">
        <v>1.44</v>
      </c>
      <c r="F66" s="93">
        <f>TRUNC(G70,2)</f>
        <v>81.97</v>
      </c>
      <c r="G66" s="94">
        <f>TRUNC(F66*1.2247,2)</f>
        <v>100.38</v>
      </c>
      <c r="H66" s="94">
        <f>TRUNC(F66*E66,2)</f>
        <v>118.03</v>
      </c>
      <c r="I66" s="95">
        <f>TRUNC(E66*G66,2)</f>
        <v>144.54</v>
      </c>
      <c r="J66" s="96">
        <v>147.08</v>
      </c>
    </row>
    <row r="67" spans="1:9" s="60" customFormat="1" ht="14.25">
      <c r="A67" s="54"/>
      <c r="B67" s="55" t="s">
        <v>181</v>
      </c>
      <c r="C67" s="72" t="s">
        <v>182</v>
      </c>
      <c r="D67" s="56" t="s">
        <v>2</v>
      </c>
      <c r="E67" s="73">
        <v>1.265</v>
      </c>
      <c r="F67" s="57">
        <f>TRUNC(48.93,2)</f>
        <v>48.93</v>
      </c>
      <c r="G67" s="58">
        <f>TRUNC(E67*F67,2)</f>
        <v>61.89</v>
      </c>
      <c r="H67" s="58"/>
      <c r="I67" s="59"/>
    </row>
    <row r="68" spans="1:9" s="60" customFormat="1" ht="28.5">
      <c r="A68" s="54"/>
      <c r="B68" s="55" t="s">
        <v>122</v>
      </c>
      <c r="C68" s="72" t="s">
        <v>123</v>
      </c>
      <c r="D68" s="56" t="s">
        <v>4</v>
      </c>
      <c r="E68" s="73">
        <v>0.515</v>
      </c>
      <c r="F68" s="57">
        <f>TRUNC(23.32,2)</f>
        <v>23.32</v>
      </c>
      <c r="G68" s="58">
        <f>TRUNC(E68*F68,2)</f>
        <v>12</v>
      </c>
      <c r="H68" s="58"/>
      <c r="I68" s="59"/>
    </row>
    <row r="69" spans="1:9" s="60" customFormat="1" ht="28.5">
      <c r="A69" s="54"/>
      <c r="B69" s="55" t="s">
        <v>77</v>
      </c>
      <c r="C69" s="72" t="s">
        <v>78</v>
      </c>
      <c r="D69" s="56" t="s">
        <v>4</v>
      </c>
      <c r="E69" s="73">
        <v>0.515</v>
      </c>
      <c r="F69" s="57">
        <f>TRUNC(15.69,2)</f>
        <v>15.69</v>
      </c>
      <c r="G69" s="58">
        <f>TRUNC(E69*F69,2)</f>
        <v>8.08</v>
      </c>
      <c r="H69" s="58"/>
      <c r="I69" s="59"/>
    </row>
    <row r="70" spans="1:9" s="60" customFormat="1" ht="14.25">
      <c r="A70" s="54"/>
      <c r="B70" s="55"/>
      <c r="C70" s="72"/>
      <c r="D70" s="56"/>
      <c r="E70" s="73" t="s">
        <v>5</v>
      </c>
      <c r="F70" s="57"/>
      <c r="G70" s="58">
        <f>TRUNC(SUM(G67:G69),2)</f>
        <v>81.97</v>
      </c>
      <c r="H70" s="58"/>
      <c r="I70" s="59"/>
    </row>
    <row r="71" spans="1:10" s="96" customFormat="1" ht="28.5">
      <c r="A71" s="88" t="s">
        <v>93</v>
      </c>
      <c r="B71" s="89" t="s">
        <v>183</v>
      </c>
      <c r="C71" s="90" t="s">
        <v>184</v>
      </c>
      <c r="D71" s="91" t="s">
        <v>10</v>
      </c>
      <c r="E71" s="92">
        <v>2</v>
      </c>
      <c r="F71" s="93">
        <f>TRUNC(G79,2)</f>
        <v>11.72</v>
      </c>
      <c r="G71" s="94">
        <f>TRUNC(F71*1.2247,2)</f>
        <v>14.35</v>
      </c>
      <c r="H71" s="94">
        <f>TRUNC(F71*E71,2)</f>
        <v>23.44</v>
      </c>
      <c r="I71" s="95">
        <f>TRUNC(E71*G71,2)</f>
        <v>28.7</v>
      </c>
      <c r="J71" s="96">
        <v>28.04</v>
      </c>
    </row>
    <row r="72" spans="1:9" s="60" customFormat="1" ht="42.75">
      <c r="A72" s="54"/>
      <c r="B72" s="55" t="s">
        <v>247</v>
      </c>
      <c r="C72" s="72" t="s">
        <v>186</v>
      </c>
      <c r="D72" s="56" t="s">
        <v>10</v>
      </c>
      <c r="E72" s="73">
        <v>1</v>
      </c>
      <c r="F72" s="57">
        <f>TRUNC(G79,2)</f>
        <v>11.72</v>
      </c>
      <c r="G72" s="58">
        <f aca="true" t="shared" si="2" ref="G72:G78">TRUNC(E72*F72,2)</f>
        <v>11.72</v>
      </c>
      <c r="H72" s="58"/>
      <c r="I72" s="59"/>
    </row>
    <row r="73" spans="1:9" s="86" customFormat="1" ht="15">
      <c r="A73" s="80"/>
      <c r="B73" s="81" t="s">
        <v>187</v>
      </c>
      <c r="C73" s="82" t="s">
        <v>188</v>
      </c>
      <c r="D73" s="83" t="s">
        <v>10</v>
      </c>
      <c r="E73" s="84">
        <v>0</v>
      </c>
      <c r="F73" s="85">
        <f>TRUNC(0.05,2)</f>
        <v>0.05</v>
      </c>
      <c r="G73" s="70">
        <f t="shared" si="2"/>
        <v>0</v>
      </c>
      <c r="H73" s="70"/>
      <c r="I73" s="71"/>
    </row>
    <row r="74" spans="1:9" s="60" customFormat="1" ht="14.25">
      <c r="A74" s="54"/>
      <c r="B74" s="55" t="s">
        <v>189</v>
      </c>
      <c r="C74" s="72" t="s">
        <v>190</v>
      </c>
      <c r="D74" s="56" t="s">
        <v>10</v>
      </c>
      <c r="E74" s="73">
        <v>1</v>
      </c>
      <c r="F74" s="57">
        <f>TRUNC(0.02,2)</f>
        <v>0.02</v>
      </c>
      <c r="G74" s="58">
        <f t="shared" si="2"/>
        <v>0.02</v>
      </c>
      <c r="H74" s="58"/>
      <c r="I74" s="59"/>
    </row>
    <row r="75" spans="1:9" s="86" customFormat="1" ht="15">
      <c r="A75" s="80"/>
      <c r="B75" s="81" t="s">
        <v>191</v>
      </c>
      <c r="C75" s="82" t="s">
        <v>192</v>
      </c>
      <c r="D75" s="83" t="s">
        <v>10</v>
      </c>
      <c r="E75" s="84">
        <v>0</v>
      </c>
      <c r="F75" s="85">
        <f>TRUNC(1.55,2)</f>
        <v>1.55</v>
      </c>
      <c r="G75" s="70">
        <f t="shared" si="2"/>
        <v>0</v>
      </c>
      <c r="H75" s="70"/>
      <c r="I75" s="71"/>
    </row>
    <row r="76" spans="1:9" s="60" customFormat="1" ht="28.5">
      <c r="A76" s="54"/>
      <c r="B76" s="55" t="s">
        <v>79</v>
      </c>
      <c r="C76" s="72" t="s">
        <v>80</v>
      </c>
      <c r="D76" s="56" t="s">
        <v>4</v>
      </c>
      <c r="E76" s="73">
        <v>0.28840000000000005</v>
      </c>
      <c r="F76" s="57">
        <f>TRUNC(21.67,2)</f>
        <v>21.67</v>
      </c>
      <c r="G76" s="58">
        <f t="shared" si="2"/>
        <v>6.24</v>
      </c>
      <c r="H76" s="58"/>
      <c r="I76" s="59"/>
    </row>
    <row r="77" spans="1:9" s="60" customFormat="1" ht="28.5">
      <c r="A77" s="54"/>
      <c r="B77" s="97" t="s">
        <v>248</v>
      </c>
      <c r="C77" s="72" t="s">
        <v>194</v>
      </c>
      <c r="D77" s="56" t="s">
        <v>10</v>
      </c>
      <c r="E77" s="73">
        <v>1</v>
      </c>
      <c r="F77" s="57">
        <v>1.72</v>
      </c>
      <c r="G77" s="58">
        <f t="shared" si="2"/>
        <v>1.72</v>
      </c>
      <c r="H77" s="58"/>
      <c r="I77" s="59"/>
    </row>
    <row r="78" spans="1:9" s="60" customFormat="1" ht="28.5">
      <c r="A78" s="54"/>
      <c r="B78" s="98" t="s">
        <v>249</v>
      </c>
      <c r="C78" s="72" t="s">
        <v>196</v>
      </c>
      <c r="D78" s="56" t="s">
        <v>10</v>
      </c>
      <c r="E78" s="73">
        <v>2</v>
      </c>
      <c r="F78" s="57">
        <v>1.87</v>
      </c>
      <c r="G78" s="58">
        <f>TRUNC(E78*F78,2)</f>
        <v>3.74</v>
      </c>
      <c r="H78" s="58"/>
      <c r="I78" s="59"/>
    </row>
    <row r="79" spans="1:9" s="60" customFormat="1" ht="14.25">
      <c r="A79" s="54"/>
      <c r="B79" s="55"/>
      <c r="C79" s="72"/>
      <c r="D79" s="56"/>
      <c r="E79" s="73" t="s">
        <v>5</v>
      </c>
      <c r="F79" s="57"/>
      <c r="G79" s="58">
        <f>TRUNC(SUM(G73:G78),2)</f>
        <v>11.72</v>
      </c>
      <c r="H79" s="58"/>
      <c r="I79" s="59"/>
    </row>
    <row r="80" spans="1:10" s="96" customFormat="1" ht="99.75">
      <c r="A80" s="88" t="s">
        <v>197</v>
      </c>
      <c r="B80" s="89" t="s">
        <v>198</v>
      </c>
      <c r="C80" s="90" t="s">
        <v>199</v>
      </c>
      <c r="D80" s="91" t="s">
        <v>214</v>
      </c>
      <c r="E80" s="92">
        <v>2</v>
      </c>
      <c r="F80" s="93">
        <f>TRUNC(G91,2)</f>
        <v>4015.14</v>
      </c>
      <c r="G80" s="94">
        <f>TRUNC(F80*1.2247,2)</f>
        <v>4917.34</v>
      </c>
      <c r="H80" s="94">
        <f>TRUNC(F80*E80,2)</f>
        <v>8030.28</v>
      </c>
      <c r="I80" s="95">
        <f>TRUNC(E80*G80,2)</f>
        <v>9834.68</v>
      </c>
      <c r="J80" s="96">
        <v>10123.44</v>
      </c>
    </row>
    <row r="81" spans="1:9" s="60" customFormat="1" ht="15">
      <c r="A81" s="54"/>
      <c r="B81" s="99" t="s">
        <v>200</v>
      </c>
      <c r="C81" s="72" t="s">
        <v>206</v>
      </c>
      <c r="D81" s="56" t="s">
        <v>3</v>
      </c>
      <c r="E81" s="99">
        <v>52.44</v>
      </c>
      <c r="F81" s="57">
        <v>5.4889</v>
      </c>
      <c r="G81" s="58">
        <f aca="true" t="shared" si="3" ref="G81:G90">TRUNC(E81*F81,2)</f>
        <v>287.83</v>
      </c>
      <c r="H81" s="58"/>
      <c r="I81" s="59"/>
    </row>
    <row r="82" spans="1:9" s="60" customFormat="1" ht="15">
      <c r="A82" s="54"/>
      <c r="B82" s="99" t="s">
        <v>201</v>
      </c>
      <c r="C82" s="72" t="s">
        <v>207</v>
      </c>
      <c r="D82" s="56" t="s">
        <v>3</v>
      </c>
      <c r="E82" s="99">
        <v>4.3469999999999995</v>
      </c>
      <c r="F82" s="57">
        <v>5.8111</v>
      </c>
      <c r="G82" s="58">
        <f t="shared" si="3"/>
        <v>25.26</v>
      </c>
      <c r="H82" s="58"/>
      <c r="I82" s="59"/>
    </row>
    <row r="83" spans="1:9" s="60" customFormat="1" ht="15">
      <c r="A83" s="54"/>
      <c r="B83" s="99" t="s">
        <v>202</v>
      </c>
      <c r="C83" s="72" t="s">
        <v>208</v>
      </c>
      <c r="D83" s="56" t="s">
        <v>10</v>
      </c>
      <c r="E83" s="99">
        <v>1</v>
      </c>
      <c r="F83" s="57">
        <v>48.41</v>
      </c>
      <c r="G83" s="58">
        <f t="shared" si="3"/>
        <v>48.41</v>
      </c>
      <c r="H83" s="58"/>
      <c r="I83" s="59"/>
    </row>
    <row r="84" spans="1:9" s="60" customFormat="1" ht="15">
      <c r="A84" s="54"/>
      <c r="B84" s="99" t="s">
        <v>203</v>
      </c>
      <c r="C84" s="72" t="s">
        <v>209</v>
      </c>
      <c r="D84" s="56" t="s">
        <v>39</v>
      </c>
      <c r="E84" s="99">
        <v>0.57</v>
      </c>
      <c r="F84" s="57">
        <v>63.73</v>
      </c>
      <c r="G84" s="58">
        <f t="shared" si="3"/>
        <v>36.32</v>
      </c>
      <c r="H84" s="58"/>
      <c r="I84" s="59"/>
    </row>
    <row r="85" spans="1:9" s="60" customFormat="1" ht="15">
      <c r="A85" s="54"/>
      <c r="B85" s="99" t="s">
        <v>204</v>
      </c>
      <c r="C85" s="72" t="s">
        <v>210</v>
      </c>
      <c r="D85" s="56" t="s">
        <v>2</v>
      </c>
      <c r="E85" s="99">
        <v>62.099999999999994</v>
      </c>
      <c r="F85" s="57">
        <v>28.67</v>
      </c>
      <c r="G85" s="58">
        <f t="shared" si="3"/>
        <v>1780.4</v>
      </c>
      <c r="H85" s="58"/>
      <c r="I85" s="59"/>
    </row>
    <row r="86" spans="1:9" s="60" customFormat="1" ht="15">
      <c r="A86" s="54"/>
      <c r="B86" s="99" t="s">
        <v>205</v>
      </c>
      <c r="C86" s="72" t="s">
        <v>211</v>
      </c>
      <c r="D86" s="56" t="s">
        <v>2</v>
      </c>
      <c r="E86" s="99">
        <v>13.799999999999999</v>
      </c>
      <c r="F86" s="57">
        <v>81.64</v>
      </c>
      <c r="G86" s="58">
        <f t="shared" si="3"/>
        <v>1126.63</v>
      </c>
      <c r="H86" s="58"/>
      <c r="I86" s="59"/>
    </row>
    <row r="87" spans="1:9" s="60" customFormat="1" ht="15">
      <c r="A87" s="54"/>
      <c r="B87" s="99" t="s">
        <v>40</v>
      </c>
      <c r="C87" s="72" t="s">
        <v>62</v>
      </c>
      <c r="D87" s="56" t="s">
        <v>39</v>
      </c>
      <c r="E87" s="99">
        <v>0.95</v>
      </c>
      <c r="F87" s="57">
        <v>70.52</v>
      </c>
      <c r="G87" s="58">
        <f t="shared" si="3"/>
        <v>66.99</v>
      </c>
      <c r="H87" s="58"/>
      <c r="I87" s="59"/>
    </row>
    <row r="88" spans="1:9" s="60" customFormat="1" ht="28.5">
      <c r="A88" s="54"/>
      <c r="B88" s="99" t="s">
        <v>77</v>
      </c>
      <c r="C88" s="72" t="s">
        <v>78</v>
      </c>
      <c r="D88" s="56" t="s">
        <v>4</v>
      </c>
      <c r="E88" s="99">
        <v>12.36</v>
      </c>
      <c r="F88" s="57">
        <v>15.69</v>
      </c>
      <c r="G88" s="58">
        <f t="shared" si="3"/>
        <v>193.92</v>
      </c>
      <c r="H88" s="58"/>
      <c r="I88" s="59"/>
    </row>
    <row r="89" spans="1:9" s="60" customFormat="1" ht="28.5">
      <c r="A89" s="54"/>
      <c r="B89" s="99" t="s">
        <v>122</v>
      </c>
      <c r="C89" s="72" t="s">
        <v>123</v>
      </c>
      <c r="D89" s="56" t="s">
        <v>4</v>
      </c>
      <c r="E89" s="99">
        <v>12.36</v>
      </c>
      <c r="F89" s="57">
        <v>23.32</v>
      </c>
      <c r="G89" s="58">
        <f t="shared" si="3"/>
        <v>288.23</v>
      </c>
      <c r="H89" s="58"/>
      <c r="I89" s="59"/>
    </row>
    <row r="90" spans="1:9" s="60" customFormat="1" ht="15">
      <c r="A90" s="54"/>
      <c r="B90" s="99" t="s">
        <v>88</v>
      </c>
      <c r="C90" s="72" t="s">
        <v>89</v>
      </c>
      <c r="D90" s="56" t="s">
        <v>4</v>
      </c>
      <c r="E90" s="99">
        <v>7.4366</v>
      </c>
      <c r="F90" s="57">
        <v>21.67</v>
      </c>
      <c r="G90" s="58">
        <f t="shared" si="3"/>
        <v>161.15</v>
      </c>
      <c r="H90" s="58"/>
      <c r="I90" s="59"/>
    </row>
    <row r="91" spans="1:9" s="60" customFormat="1" ht="14.25">
      <c r="A91" s="54"/>
      <c r="B91" s="55"/>
      <c r="C91" s="72"/>
      <c r="D91" s="56"/>
      <c r="E91" s="73" t="s">
        <v>5</v>
      </c>
      <c r="F91" s="57"/>
      <c r="G91" s="58">
        <f>TRUNC(SUM(G81:G90),2)</f>
        <v>4015.14</v>
      </c>
      <c r="H91" s="58"/>
      <c r="I91" s="59"/>
    </row>
    <row r="92" spans="1:10" s="96" customFormat="1" ht="74.25">
      <c r="A92" s="88" t="s">
        <v>219</v>
      </c>
      <c r="B92" s="89" t="s">
        <v>212</v>
      </c>
      <c r="C92" s="90" t="s">
        <v>213</v>
      </c>
      <c r="D92" s="91" t="s">
        <v>214</v>
      </c>
      <c r="E92" s="92">
        <v>12</v>
      </c>
      <c r="F92" s="93">
        <f>TRUNC(G97,2)</f>
        <v>52.55</v>
      </c>
      <c r="G92" s="94">
        <f>TRUNC(F92*1.2247,2)</f>
        <v>64.35</v>
      </c>
      <c r="H92" s="94">
        <f>TRUNC(F92*E92,2)</f>
        <v>630.6</v>
      </c>
      <c r="I92" s="95">
        <f>TRUNC(E92*G92,2)</f>
        <v>772.2</v>
      </c>
      <c r="J92" s="96">
        <v>762.36</v>
      </c>
    </row>
    <row r="93" spans="1:9" s="60" customFormat="1" ht="28.5">
      <c r="A93" s="54"/>
      <c r="B93" s="99" t="s">
        <v>250</v>
      </c>
      <c r="C93" s="72" t="s">
        <v>216</v>
      </c>
      <c r="D93" s="56"/>
      <c r="E93" s="99"/>
      <c r="F93" s="57"/>
      <c r="G93" s="58"/>
      <c r="H93" s="58"/>
      <c r="I93" s="59"/>
    </row>
    <row r="94" spans="1:9" s="60" customFormat="1" ht="15">
      <c r="A94" s="54"/>
      <c r="B94" s="99" t="s">
        <v>251</v>
      </c>
      <c r="C94" s="72" t="s">
        <v>218</v>
      </c>
      <c r="D94" s="56" t="s">
        <v>3</v>
      </c>
      <c r="E94" s="99">
        <v>2</v>
      </c>
      <c r="F94" s="57">
        <v>5.84</v>
      </c>
      <c r="G94" s="58">
        <f>TRUNC(E94*F94,2)</f>
        <v>11.68</v>
      </c>
      <c r="H94" s="58"/>
      <c r="I94" s="59"/>
    </row>
    <row r="95" spans="1:9" s="60" customFormat="1" ht="15">
      <c r="A95" s="54"/>
      <c r="B95" s="99" t="s">
        <v>108</v>
      </c>
      <c r="C95" s="72" t="s">
        <v>71</v>
      </c>
      <c r="D95" s="56" t="s">
        <v>4</v>
      </c>
      <c r="E95" s="99">
        <v>1.5</v>
      </c>
      <c r="F95" s="57">
        <f>TRUNC(22.26,2)</f>
        <v>22.26</v>
      </c>
      <c r="G95" s="58">
        <f>TRUNC(E95*F95,2)</f>
        <v>33.39</v>
      </c>
      <c r="H95" s="58"/>
      <c r="I95" s="59"/>
    </row>
    <row r="96" spans="1:9" s="60" customFormat="1" ht="28.5">
      <c r="A96" s="54"/>
      <c r="B96" s="99" t="s">
        <v>249</v>
      </c>
      <c r="C96" s="72" t="s">
        <v>196</v>
      </c>
      <c r="D96" s="56" t="s">
        <v>10</v>
      </c>
      <c r="E96" s="99">
        <v>4</v>
      </c>
      <c r="F96" s="57">
        <v>1.87</v>
      </c>
      <c r="G96" s="58">
        <f>TRUNC(E96*F96,2)</f>
        <v>7.48</v>
      </c>
      <c r="H96" s="58"/>
      <c r="I96" s="59"/>
    </row>
    <row r="97" spans="1:9" s="60" customFormat="1" ht="15">
      <c r="A97" s="54"/>
      <c r="B97" s="99"/>
      <c r="C97" s="72"/>
      <c r="D97" s="56"/>
      <c r="E97" s="99" t="s">
        <v>5</v>
      </c>
      <c r="F97" s="57"/>
      <c r="G97" s="58">
        <f>TRUNC(SUM(G94:G96),2)</f>
        <v>52.55</v>
      </c>
      <c r="H97" s="58"/>
      <c r="I97" s="59"/>
    </row>
    <row r="98" spans="1:10" s="40" customFormat="1" ht="15.75">
      <c r="A98" s="48" t="s">
        <v>42</v>
      </c>
      <c r="B98" s="50"/>
      <c r="C98" s="49"/>
      <c r="D98" s="50"/>
      <c r="E98" s="50"/>
      <c r="F98" s="50"/>
      <c r="G98" s="50" t="s">
        <v>76</v>
      </c>
      <c r="H98" s="51">
        <f>H57+H71+H66+H80+H92</f>
        <v>87849.83</v>
      </c>
      <c r="I98" s="51">
        <f>I57+I71+I66+I80+I92</f>
        <v>107586.84999999999</v>
      </c>
      <c r="J98" s="40">
        <v>23879.9</v>
      </c>
    </row>
    <row r="99" spans="1:9" s="39" customFormat="1" ht="15.75">
      <c r="A99" s="39" t="s">
        <v>15</v>
      </c>
      <c r="B99" s="46"/>
      <c r="C99" s="47" t="s">
        <v>17</v>
      </c>
      <c r="D99" s="47"/>
      <c r="E99" s="47"/>
      <c r="F99" s="47"/>
      <c r="G99" s="47"/>
      <c r="H99" s="47"/>
      <c r="I99" s="45"/>
    </row>
    <row r="100" spans="1:10" s="96" customFormat="1" ht="71.25">
      <c r="A100" s="88" t="s">
        <v>44</v>
      </c>
      <c r="B100" s="89" t="s">
        <v>87</v>
      </c>
      <c r="C100" s="90" t="s">
        <v>75</v>
      </c>
      <c r="D100" s="91" t="s">
        <v>0</v>
      </c>
      <c r="E100" s="92">
        <v>650.7</v>
      </c>
      <c r="F100" s="93">
        <f>TRUNC(G106,2)</f>
        <v>17.49</v>
      </c>
      <c r="G100" s="94">
        <f>TRUNC(F100*1.2247,2)</f>
        <v>21.42</v>
      </c>
      <c r="H100" s="94">
        <f>TRUNC(F100*E100,2)</f>
        <v>11380.74</v>
      </c>
      <c r="I100" s="95">
        <f>TRUNC(E100*G100,2)</f>
        <v>13937.99</v>
      </c>
      <c r="J100" s="96">
        <v>13801.34</v>
      </c>
    </row>
    <row r="101" spans="1:9" s="60" customFormat="1" ht="14.25">
      <c r="A101" s="54"/>
      <c r="B101" s="55" t="s">
        <v>48</v>
      </c>
      <c r="C101" s="72" t="s">
        <v>60</v>
      </c>
      <c r="D101" s="56" t="s">
        <v>39</v>
      </c>
      <c r="E101" s="73">
        <v>0.035</v>
      </c>
      <c r="F101" s="57">
        <f>TRUNC(170.89,2)</f>
        <v>170.89</v>
      </c>
      <c r="G101" s="58">
        <f>TRUNC(E101*F101,2)</f>
        <v>5.98</v>
      </c>
      <c r="H101" s="58"/>
      <c r="I101" s="59"/>
    </row>
    <row r="102" spans="1:9" s="60" customFormat="1" ht="14.25">
      <c r="A102" s="54"/>
      <c r="B102" s="55" t="s">
        <v>49</v>
      </c>
      <c r="C102" s="72" t="s">
        <v>61</v>
      </c>
      <c r="D102" s="56" t="s">
        <v>3</v>
      </c>
      <c r="E102" s="73">
        <v>0.025</v>
      </c>
      <c r="F102" s="57">
        <f>TRUNC(15.66,2)</f>
        <v>15.66</v>
      </c>
      <c r="G102" s="58">
        <f>TRUNC(E102*F102,2)</f>
        <v>0.39</v>
      </c>
      <c r="H102" s="58"/>
      <c r="I102" s="59"/>
    </row>
    <row r="103" spans="1:9" s="60" customFormat="1" ht="14.25">
      <c r="A103" s="54"/>
      <c r="B103" s="55" t="s">
        <v>40</v>
      </c>
      <c r="C103" s="72" t="s">
        <v>62</v>
      </c>
      <c r="D103" s="56" t="s">
        <v>39</v>
      </c>
      <c r="E103" s="73">
        <v>0.05</v>
      </c>
      <c r="F103" s="57">
        <f>TRUNC(70.52,2)</f>
        <v>70.52</v>
      </c>
      <c r="G103" s="58">
        <f>TRUNC(E103*F103,2)</f>
        <v>3.52</v>
      </c>
      <c r="H103" s="58"/>
      <c r="I103" s="59"/>
    </row>
    <row r="104" spans="1:9" s="60" customFormat="1" ht="28.5">
      <c r="A104" s="54"/>
      <c r="B104" s="55" t="s">
        <v>77</v>
      </c>
      <c r="C104" s="72" t="s">
        <v>78</v>
      </c>
      <c r="D104" s="56" t="s">
        <v>4</v>
      </c>
      <c r="E104" s="73">
        <v>0.12875</v>
      </c>
      <c r="F104" s="57">
        <f>TRUNC(15.69,2)</f>
        <v>15.69</v>
      </c>
      <c r="G104" s="58">
        <f>TRUNC(E104*F104,2)</f>
        <v>2.02</v>
      </c>
      <c r="H104" s="58"/>
      <c r="I104" s="59"/>
    </row>
    <row r="105" spans="1:9" s="60" customFormat="1" ht="14.25">
      <c r="A105" s="54"/>
      <c r="B105" s="55" t="s">
        <v>88</v>
      </c>
      <c r="C105" s="72" t="s">
        <v>89</v>
      </c>
      <c r="D105" s="56" t="s">
        <v>4</v>
      </c>
      <c r="E105" s="73">
        <v>0.2575</v>
      </c>
      <c r="F105" s="57">
        <f>TRUNC(21.67,2)</f>
        <v>21.67</v>
      </c>
      <c r="G105" s="58">
        <f>TRUNC(E105*F105,2)</f>
        <v>5.58</v>
      </c>
      <c r="H105" s="58"/>
      <c r="I105" s="59"/>
    </row>
    <row r="106" spans="1:9" s="60" customFormat="1" ht="14.25">
      <c r="A106" s="54"/>
      <c r="B106" s="55"/>
      <c r="C106" s="72"/>
      <c r="D106" s="56"/>
      <c r="E106" s="73" t="s">
        <v>5</v>
      </c>
      <c r="F106" s="57"/>
      <c r="G106" s="58">
        <f>TRUNC(SUM(G101:G105),2)</f>
        <v>17.49</v>
      </c>
      <c r="H106" s="58"/>
      <c r="I106" s="59"/>
    </row>
    <row r="107" spans="1:10" s="40" customFormat="1" ht="15.75">
      <c r="A107" s="48" t="s">
        <v>42</v>
      </c>
      <c r="B107" s="50"/>
      <c r="C107" s="49"/>
      <c r="D107" s="50"/>
      <c r="E107" s="50"/>
      <c r="F107" s="50"/>
      <c r="G107" s="50" t="s">
        <v>45</v>
      </c>
      <c r="H107" s="53">
        <f>H100</f>
        <v>11380.74</v>
      </c>
      <c r="I107" s="53">
        <f>I100</f>
        <v>13937.99</v>
      </c>
      <c r="J107" s="40">
        <v>13801.34</v>
      </c>
    </row>
    <row r="108" spans="1:9" s="39" customFormat="1" ht="15.75">
      <c r="A108" s="39" t="s">
        <v>16</v>
      </c>
      <c r="B108" s="46"/>
      <c r="C108" s="47" t="s">
        <v>34</v>
      </c>
      <c r="D108" s="47"/>
      <c r="E108" s="47"/>
      <c r="F108" s="47"/>
      <c r="G108" s="47"/>
      <c r="H108" s="47"/>
      <c r="I108" s="45"/>
    </row>
    <row r="109" spans="1:10" s="96" customFormat="1" ht="42.75">
      <c r="A109" s="88" t="s">
        <v>11</v>
      </c>
      <c r="B109" s="89" t="s">
        <v>254</v>
      </c>
      <c r="C109" s="90" t="s">
        <v>253</v>
      </c>
      <c r="D109" s="91" t="s">
        <v>1</v>
      </c>
      <c r="E109" s="92">
        <v>39.63</v>
      </c>
      <c r="F109" s="93">
        <f>TRUNC(G111,2)</f>
        <v>22.62</v>
      </c>
      <c r="G109" s="94">
        <f>TRUNC(F109*1.2247,2)</f>
        <v>27.7</v>
      </c>
      <c r="H109" s="94">
        <f>TRUNC(F109*E109,2)</f>
        <v>896.43</v>
      </c>
      <c r="I109" s="95">
        <f>TRUNC(E109*G109,2)</f>
        <v>1097.75</v>
      </c>
      <c r="J109" s="96">
        <v>1001.05</v>
      </c>
    </row>
    <row r="110" spans="2:9" s="61" customFormat="1" ht="30">
      <c r="B110" s="102" t="s">
        <v>77</v>
      </c>
      <c r="C110" s="101" t="s">
        <v>78</v>
      </c>
      <c r="D110" s="61" t="s">
        <v>4</v>
      </c>
      <c r="E110" s="100">
        <v>1.442</v>
      </c>
      <c r="F110" s="62">
        <f>TRUNC(15.69,2)</f>
        <v>15.69</v>
      </c>
      <c r="G110" s="58">
        <f>TRUNC(E110*F110,2)</f>
        <v>22.62</v>
      </c>
      <c r="H110" s="58"/>
      <c r="I110" s="59"/>
    </row>
    <row r="111" spans="2:9" s="61" customFormat="1" ht="15">
      <c r="B111" s="102"/>
      <c r="C111" s="101"/>
      <c r="E111" s="100" t="s">
        <v>5</v>
      </c>
      <c r="F111" s="62"/>
      <c r="G111" s="58">
        <f>TRUNC(SUM(G110:G110),2)</f>
        <v>22.62</v>
      </c>
      <c r="H111" s="58"/>
      <c r="I111" s="59"/>
    </row>
    <row r="112" spans="1:12" s="96" customFormat="1" ht="71.25">
      <c r="A112" s="88" t="s">
        <v>12</v>
      </c>
      <c r="B112" s="89" t="s">
        <v>97</v>
      </c>
      <c r="C112" s="90" t="s">
        <v>94</v>
      </c>
      <c r="D112" s="91" t="s">
        <v>10</v>
      </c>
      <c r="E112" s="92">
        <v>8</v>
      </c>
      <c r="F112" s="93">
        <f>TRUNC(G115,2)</f>
        <v>239.69</v>
      </c>
      <c r="G112" s="94">
        <f>TRUNC(F112*1.2247,2)</f>
        <v>293.54</v>
      </c>
      <c r="H112" s="94">
        <f>TRUNC(F112*E112,2)</f>
        <v>1917.52</v>
      </c>
      <c r="I112" s="95">
        <f>TRUNC(E112*G112,2)</f>
        <v>2348.32</v>
      </c>
      <c r="J112" s="96">
        <v>2456.8</v>
      </c>
      <c r="L112" s="96">
        <f>40/5</f>
        <v>8</v>
      </c>
    </row>
    <row r="113" spans="1:9" s="60" customFormat="1" ht="28.5">
      <c r="A113" s="54"/>
      <c r="B113" s="55" t="s">
        <v>77</v>
      </c>
      <c r="C113" s="72" t="s">
        <v>78</v>
      </c>
      <c r="D113" s="56" t="s">
        <v>4</v>
      </c>
      <c r="E113" s="73">
        <v>0.618</v>
      </c>
      <c r="F113" s="57">
        <f>TRUNC(15.69,2)</f>
        <v>15.69</v>
      </c>
      <c r="G113" s="58">
        <f>TRUNC(E113*F113,2)</f>
        <v>9.69</v>
      </c>
      <c r="H113" s="58"/>
      <c r="I113" s="59"/>
    </row>
    <row r="114" spans="1:9" s="60" customFormat="1" ht="28.5">
      <c r="A114" s="54"/>
      <c r="B114" s="55" t="s">
        <v>95</v>
      </c>
      <c r="C114" s="72" t="s">
        <v>117</v>
      </c>
      <c r="D114" s="56" t="s">
        <v>10</v>
      </c>
      <c r="E114" s="73">
        <v>1</v>
      </c>
      <c r="F114" s="57">
        <f>TRUNC(230,2)</f>
        <v>230</v>
      </c>
      <c r="G114" s="58">
        <f>TRUNC(E114*F114,2)</f>
        <v>230</v>
      </c>
      <c r="H114" s="58"/>
      <c r="I114" s="59"/>
    </row>
    <row r="115" spans="1:9" s="60" customFormat="1" ht="14.25">
      <c r="A115" s="54"/>
      <c r="B115" s="55"/>
      <c r="C115" s="72"/>
      <c r="D115" s="56"/>
      <c r="E115" s="73" t="s">
        <v>5</v>
      </c>
      <c r="F115" s="57"/>
      <c r="G115" s="58">
        <f>TRUNC(SUM(G113:G114),2)</f>
        <v>239.69</v>
      </c>
      <c r="H115" s="58"/>
      <c r="I115" s="59"/>
    </row>
    <row r="116" spans="1:10" s="40" customFormat="1" ht="15.75">
      <c r="A116" s="74" t="s">
        <v>42</v>
      </c>
      <c r="B116" s="75"/>
      <c r="C116" s="76"/>
      <c r="D116" s="75"/>
      <c r="E116" s="75"/>
      <c r="F116" s="75" t="s">
        <v>47</v>
      </c>
      <c r="G116" s="75"/>
      <c r="H116" s="77">
        <f>H112+H109</f>
        <v>2813.95</v>
      </c>
      <c r="I116" s="77">
        <f>I112+I109</f>
        <v>3446.07</v>
      </c>
      <c r="J116" s="40">
        <v>3457.8500000000004</v>
      </c>
    </row>
    <row r="117" spans="1:10" s="40" customFormat="1" ht="15.75">
      <c r="A117" s="48" t="s">
        <v>42</v>
      </c>
      <c r="B117" s="50"/>
      <c r="C117" s="49"/>
      <c r="D117" s="50"/>
      <c r="E117" s="50"/>
      <c r="F117" s="50" t="s">
        <v>50</v>
      </c>
      <c r="G117" s="50"/>
      <c r="H117" s="52">
        <f>H116+H107+H98+H55</f>
        <v>145673.53000000003</v>
      </c>
      <c r="I117" s="52">
        <f>I116+I107+I98+I55</f>
        <v>178401.81</v>
      </c>
      <c r="J117" s="40">
        <v>94197.26000000001</v>
      </c>
    </row>
    <row r="118" spans="1:9" s="40" customFormat="1" ht="15.75">
      <c r="A118" s="48"/>
      <c r="B118" s="50"/>
      <c r="C118" s="49"/>
      <c r="D118" s="50"/>
      <c r="E118" s="50"/>
      <c r="F118" s="50"/>
      <c r="G118" s="50"/>
      <c r="H118" s="51"/>
      <c r="I118" s="52"/>
    </row>
  </sheetData>
  <sheetProtection/>
  <mergeCells count="14">
    <mergeCell ref="D2:G2"/>
    <mergeCell ref="D3:G3"/>
    <mergeCell ref="D4:G4"/>
    <mergeCell ref="D7:G7"/>
    <mergeCell ref="D8:G8"/>
    <mergeCell ref="D5:G5"/>
    <mergeCell ref="D6:G6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39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0" zoomScaleSheetLayoutView="70" zoomScalePageLayoutView="0" workbookViewId="0" topLeftCell="A1">
      <selection activeCell="G13" sqref="G13"/>
    </sheetView>
  </sheetViews>
  <sheetFormatPr defaultColWidth="9.140625" defaultRowHeight="15"/>
  <cols>
    <col min="2" max="2" width="23.421875" style="0" customWidth="1"/>
    <col min="3" max="3" width="90.42187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8.421875" style="0" customWidth="1"/>
    <col min="10" max="10" width="15.421875" style="0" customWidth="1"/>
  </cols>
  <sheetData>
    <row r="1" spans="1:7" ht="15.75">
      <c r="A1" s="2"/>
      <c r="B1" s="3"/>
      <c r="C1" s="4" t="s">
        <v>18</v>
      </c>
      <c r="D1" s="5"/>
      <c r="E1" s="6"/>
      <c r="F1" s="7"/>
      <c r="G1" s="8"/>
    </row>
    <row r="2" spans="1:7" ht="15.75">
      <c r="A2" s="9"/>
      <c r="B2" s="10"/>
      <c r="C2" s="11" t="s">
        <v>19</v>
      </c>
      <c r="D2" s="104" t="s">
        <v>100</v>
      </c>
      <c r="E2" s="105"/>
      <c r="F2" s="105"/>
      <c r="G2" s="106"/>
    </row>
    <row r="3" spans="1:7" ht="15.75">
      <c r="A3" s="9"/>
      <c r="B3" s="10"/>
      <c r="C3" s="11" t="s">
        <v>20</v>
      </c>
      <c r="D3" s="151">
        <v>44148</v>
      </c>
      <c r="E3" s="152"/>
      <c r="F3" s="152"/>
      <c r="G3" s="153"/>
    </row>
    <row r="4" spans="1:7" ht="15.75" customHeight="1">
      <c r="A4" s="9"/>
      <c r="B4" s="10"/>
      <c r="C4" s="12" t="s">
        <v>255</v>
      </c>
      <c r="D4" s="151" t="s">
        <v>258</v>
      </c>
      <c r="E4" s="152"/>
      <c r="F4" s="152"/>
      <c r="G4" s="153"/>
    </row>
    <row r="5" spans="1:7" ht="22.5" customHeight="1">
      <c r="A5" s="9"/>
      <c r="B5" s="10"/>
      <c r="C5" s="41" t="s">
        <v>256</v>
      </c>
      <c r="D5" s="151" t="s">
        <v>259</v>
      </c>
      <c r="E5" s="152"/>
      <c r="F5" s="152"/>
      <c r="G5" s="153"/>
    </row>
    <row r="6" spans="1:8" ht="15.75">
      <c r="A6" s="9"/>
      <c r="B6" s="10"/>
      <c r="C6" s="13" t="s">
        <v>257</v>
      </c>
      <c r="D6" s="151" t="s">
        <v>260</v>
      </c>
      <c r="E6" s="152"/>
      <c r="F6" s="152"/>
      <c r="G6" s="153"/>
      <c r="H6" s="154"/>
    </row>
    <row r="7" spans="1:7" ht="15.75">
      <c r="A7" s="9"/>
      <c r="B7" s="10"/>
      <c r="C7" s="150"/>
      <c r="D7" s="151" t="s">
        <v>51</v>
      </c>
      <c r="E7" s="152"/>
      <c r="F7" s="152"/>
      <c r="G7" s="153"/>
    </row>
    <row r="8" spans="1:7" ht="15.75">
      <c r="A8" s="14"/>
      <c r="B8" s="15"/>
      <c r="C8" s="16"/>
      <c r="D8" s="151" t="s">
        <v>261</v>
      </c>
      <c r="E8" s="152"/>
      <c r="F8" s="152"/>
      <c r="G8" s="153"/>
    </row>
    <row r="9" spans="1:7" ht="15">
      <c r="A9" s="109" t="s">
        <v>263</v>
      </c>
      <c r="B9" s="110"/>
      <c r="C9" s="110"/>
      <c r="D9" s="110"/>
      <c r="E9" s="110"/>
      <c r="F9" s="110"/>
      <c r="G9" s="110"/>
    </row>
    <row r="10" spans="1:9" s="43" customFormat="1" ht="12.75" customHeight="1">
      <c r="A10" s="111" t="s">
        <v>22</v>
      </c>
      <c r="B10" s="112" t="s">
        <v>52</v>
      </c>
      <c r="C10" s="112" t="s">
        <v>23</v>
      </c>
      <c r="D10" s="111" t="s">
        <v>10</v>
      </c>
      <c r="E10" s="113" t="s">
        <v>24</v>
      </c>
      <c r="F10" s="114" t="s">
        <v>25</v>
      </c>
      <c r="G10" s="114"/>
      <c r="H10" s="114"/>
      <c r="I10" s="114"/>
    </row>
    <row r="11" spans="1:9" s="43" customFormat="1" ht="12.75" customHeight="1">
      <c r="A11" s="111"/>
      <c r="B11" s="112"/>
      <c r="C11" s="112"/>
      <c r="D11" s="111"/>
      <c r="E11" s="113"/>
      <c r="F11" s="44" t="s">
        <v>64</v>
      </c>
      <c r="G11" s="44" t="s">
        <v>65</v>
      </c>
      <c r="H11" s="44" t="s">
        <v>66</v>
      </c>
      <c r="I11" s="42" t="s">
        <v>67</v>
      </c>
    </row>
    <row r="12" spans="1:9" s="39" customFormat="1" ht="15.75">
      <c r="A12" s="39" t="s">
        <v>13</v>
      </c>
      <c r="B12" s="46"/>
      <c r="C12" s="47" t="s">
        <v>41</v>
      </c>
      <c r="D12" s="47"/>
      <c r="E12" s="47"/>
      <c r="F12" s="47"/>
      <c r="G12" s="47"/>
      <c r="H12" s="47"/>
      <c r="I12" s="45"/>
    </row>
    <row r="13" spans="1:9" s="96" customFormat="1" ht="28.5">
      <c r="A13" s="88" t="s">
        <v>6</v>
      </c>
      <c r="B13" s="89" t="s">
        <v>221</v>
      </c>
      <c r="C13" s="90" t="s">
        <v>128</v>
      </c>
      <c r="D13" s="91" t="s">
        <v>2</v>
      </c>
      <c r="E13" s="92">
        <v>75</v>
      </c>
      <c r="F13" s="93">
        <f>TRUNC('n DESONERADA'!F13,2)</f>
        <v>12.12</v>
      </c>
      <c r="G13" s="94">
        <f>TRUNC(F13*1.2247,2)</f>
        <v>14.84</v>
      </c>
      <c r="H13" s="94">
        <f>TRUNC(F13*E13,2)</f>
        <v>909</v>
      </c>
      <c r="I13" s="95">
        <f>TRUNC(E13*G13,2)</f>
        <v>1113</v>
      </c>
    </row>
    <row r="14" spans="1:9" s="96" customFormat="1" ht="42.75">
      <c r="A14" s="88" t="s">
        <v>7</v>
      </c>
      <c r="B14" s="89" t="s">
        <v>222</v>
      </c>
      <c r="C14" s="90" t="s">
        <v>130</v>
      </c>
      <c r="D14" s="91" t="s">
        <v>1</v>
      </c>
      <c r="E14" s="92">
        <v>36.03</v>
      </c>
      <c r="F14" s="93">
        <f>TRUNC('n DESONERADA'!F16,2)</f>
        <v>54.94</v>
      </c>
      <c r="G14" s="94">
        <f>TRUNC(F14*1.2247,2)</f>
        <v>67.28</v>
      </c>
      <c r="H14" s="94">
        <f>TRUNC(F14*E14,2)</f>
        <v>1979.48</v>
      </c>
      <c r="I14" s="95">
        <f>TRUNC(E14*G14,2)</f>
        <v>2424.09</v>
      </c>
    </row>
    <row r="15" spans="1:9" s="96" customFormat="1" ht="42.75">
      <c r="A15" s="88" t="s">
        <v>8</v>
      </c>
      <c r="B15" s="89" t="s">
        <v>223</v>
      </c>
      <c r="C15" s="90" t="s">
        <v>132</v>
      </c>
      <c r="D15" s="91" t="s">
        <v>1</v>
      </c>
      <c r="E15" s="92">
        <v>29.183</v>
      </c>
      <c r="F15" s="93">
        <f>TRUNC('n DESONERADA'!F19,2)</f>
        <v>21.34</v>
      </c>
      <c r="G15" s="94">
        <f>TRUNC(F15*1.2247,2)</f>
        <v>26.13</v>
      </c>
      <c r="H15" s="94">
        <f>TRUNC(F15*E15,2)</f>
        <v>622.76</v>
      </c>
      <c r="I15" s="95">
        <f>TRUNC(E15*G15,2)</f>
        <v>762.55</v>
      </c>
    </row>
    <row r="16" spans="1:9" s="96" customFormat="1" ht="42.75">
      <c r="A16" s="88" t="s">
        <v>9</v>
      </c>
      <c r="B16" s="89" t="s">
        <v>226</v>
      </c>
      <c r="C16" s="90" t="s">
        <v>136</v>
      </c>
      <c r="D16" s="91" t="s">
        <v>1</v>
      </c>
      <c r="E16" s="92">
        <v>74.25</v>
      </c>
      <c r="F16" s="93">
        <f>TRUNC('n DESONERADA'!F25,2)</f>
        <v>491.46</v>
      </c>
      <c r="G16" s="94">
        <f>TRUNC(F16*1.2247,2)</f>
        <v>601.89</v>
      </c>
      <c r="H16" s="94">
        <f>TRUNC(F16*E16,2)</f>
        <v>36490.9</v>
      </c>
      <c r="I16" s="95">
        <f>TRUNC(E16*G16,2)</f>
        <v>44690.33</v>
      </c>
    </row>
    <row r="17" spans="1:9" s="96" customFormat="1" ht="71.25">
      <c r="A17" s="88" t="s">
        <v>90</v>
      </c>
      <c r="B17" s="89" t="s">
        <v>233</v>
      </c>
      <c r="C17" s="90" t="s">
        <v>144</v>
      </c>
      <c r="D17" s="91" t="s">
        <v>3</v>
      </c>
      <c r="E17" s="92">
        <v>53.36</v>
      </c>
      <c r="F17" s="93">
        <f>TRUNC('n DESONERADA'!F30,2)</f>
        <v>4.32</v>
      </c>
      <c r="G17" s="94">
        <f>TRUNC(F17*1.2247,2)</f>
        <v>5.29</v>
      </c>
      <c r="H17" s="94">
        <f>TRUNC(F17*E17,2)</f>
        <v>230.51</v>
      </c>
      <c r="I17" s="95">
        <f>TRUNC(E17*G17,2)</f>
        <v>282.27</v>
      </c>
    </row>
    <row r="18" spans="1:9" s="96" customFormat="1" ht="28.5">
      <c r="A18" s="88" t="s">
        <v>91</v>
      </c>
      <c r="B18" s="89" t="s">
        <v>234</v>
      </c>
      <c r="C18" s="90" t="s">
        <v>152</v>
      </c>
      <c r="D18" s="91" t="s">
        <v>3</v>
      </c>
      <c r="E18" s="92">
        <v>53.36</v>
      </c>
      <c r="F18" s="93">
        <f>TRUNC('n DESONERADA'!F35,2)</f>
        <v>16.09</v>
      </c>
      <c r="G18" s="94">
        <f>TRUNC(F18*1.2247,2)</f>
        <v>19.7</v>
      </c>
      <c r="H18" s="94">
        <f>TRUNC(F18*E18,2)</f>
        <v>858.56</v>
      </c>
      <c r="I18" s="95">
        <f>TRUNC(E18*G18,2)</f>
        <v>1051.19</v>
      </c>
    </row>
    <row r="19" spans="1:9" s="96" customFormat="1" ht="57">
      <c r="A19" s="88" t="s">
        <v>161</v>
      </c>
      <c r="B19" s="89" t="s">
        <v>239</v>
      </c>
      <c r="C19" s="90" t="s">
        <v>160</v>
      </c>
      <c r="D19" s="91" t="s">
        <v>3</v>
      </c>
      <c r="E19" s="92">
        <v>81.87</v>
      </c>
      <c r="F19" s="93">
        <f>TRUNC('n DESONERADA'!F42,2)</f>
        <v>13.6</v>
      </c>
      <c r="G19" s="94">
        <f>TRUNC(F19*1.2247,2)</f>
        <v>16.65</v>
      </c>
      <c r="H19" s="94">
        <f>TRUNC(F19*E19,2)</f>
        <v>1113.43</v>
      </c>
      <c r="I19" s="95">
        <f>TRUNC(E19*G19,2)</f>
        <v>1363.13</v>
      </c>
    </row>
    <row r="20" spans="1:9" s="96" customFormat="1" ht="57">
      <c r="A20" s="88" t="s">
        <v>124</v>
      </c>
      <c r="B20" s="89" t="s">
        <v>242</v>
      </c>
      <c r="C20" s="90" t="s">
        <v>163</v>
      </c>
      <c r="D20" s="91" t="s">
        <v>0</v>
      </c>
      <c r="E20" s="92">
        <v>22.79</v>
      </c>
      <c r="F20" s="93">
        <f>TRUNC('n DESONERADA'!F49,2)</f>
        <v>62.5</v>
      </c>
      <c r="G20" s="94">
        <f>TRUNC(F20*1.2247,2)</f>
        <v>76.54</v>
      </c>
      <c r="H20" s="94">
        <f>TRUNC(F20*E20,2)</f>
        <v>1424.37</v>
      </c>
      <c r="I20" s="95">
        <f>TRUNC(E20*G20,2)</f>
        <v>1744.34</v>
      </c>
    </row>
    <row r="21" spans="1:9" s="40" customFormat="1" ht="15.75">
      <c r="A21" s="48" t="s">
        <v>42</v>
      </c>
      <c r="B21" s="50"/>
      <c r="C21" s="49"/>
      <c r="D21" s="50"/>
      <c r="E21" s="50"/>
      <c r="F21" s="50"/>
      <c r="G21" s="50" t="s">
        <v>46</v>
      </c>
      <c r="H21" s="52">
        <f>H17+H16+H15+H14+H13+H18+H19+H20</f>
        <v>43629.01000000001</v>
      </c>
      <c r="I21" s="52">
        <f>I17+I16+I15+I14+I13+I18+I19+I20</f>
        <v>53430.9</v>
      </c>
    </row>
    <row r="22" spans="1:9" s="39" customFormat="1" ht="15.75">
      <c r="A22" s="39" t="s">
        <v>14</v>
      </c>
      <c r="B22" s="46"/>
      <c r="C22" s="47" t="s">
        <v>174</v>
      </c>
      <c r="D22" s="47"/>
      <c r="E22" s="47"/>
      <c r="F22" s="47"/>
      <c r="G22" s="47"/>
      <c r="H22" s="47"/>
      <c r="I22" s="45"/>
    </row>
    <row r="23" spans="1:9" s="96" customFormat="1" ht="42.75">
      <c r="A23" s="88" t="s">
        <v>43</v>
      </c>
      <c r="B23" s="89" t="s">
        <v>109</v>
      </c>
      <c r="C23" s="90" t="s">
        <v>96</v>
      </c>
      <c r="D23" s="91" t="s">
        <v>0</v>
      </c>
      <c r="E23" s="92">
        <v>422.94</v>
      </c>
      <c r="F23" s="93">
        <f>TRUNC('n DESONERADA'!F57,2)</f>
        <v>186.9</v>
      </c>
      <c r="G23" s="94">
        <f>TRUNC(F23*1.2247,2)</f>
        <v>228.89</v>
      </c>
      <c r="H23" s="94">
        <f>TRUNC(F23*E23,2)</f>
        <v>79047.48</v>
      </c>
      <c r="I23" s="95">
        <f>TRUNC(E23*G23,2)</f>
        <v>96806.73</v>
      </c>
    </row>
    <row r="24" spans="1:9" s="96" customFormat="1" ht="71.25">
      <c r="A24" s="88" t="s">
        <v>92</v>
      </c>
      <c r="B24" s="89" t="s">
        <v>246</v>
      </c>
      <c r="C24" s="90" t="s">
        <v>180</v>
      </c>
      <c r="D24" s="91" t="s">
        <v>2</v>
      </c>
      <c r="E24" s="92">
        <v>1.44</v>
      </c>
      <c r="F24" s="93">
        <f>TRUNC('n DESONERADA'!F66,2)</f>
        <v>81.97</v>
      </c>
      <c r="G24" s="94">
        <f>TRUNC(F24*1.2247,2)</f>
        <v>100.38</v>
      </c>
      <c r="H24" s="94">
        <f>TRUNC(F24*E24,2)</f>
        <v>118.03</v>
      </c>
      <c r="I24" s="95">
        <f>TRUNC(E24*G24,2)</f>
        <v>144.54</v>
      </c>
    </row>
    <row r="25" spans="1:9" s="96" customFormat="1" ht="28.5">
      <c r="A25" s="88" t="s">
        <v>93</v>
      </c>
      <c r="B25" s="89" t="s">
        <v>183</v>
      </c>
      <c r="C25" s="90" t="s">
        <v>184</v>
      </c>
      <c r="D25" s="91" t="s">
        <v>10</v>
      </c>
      <c r="E25" s="92">
        <v>2</v>
      </c>
      <c r="F25" s="93">
        <f>TRUNC('n DESONERADA'!F71,2)</f>
        <v>11.72</v>
      </c>
      <c r="G25" s="94">
        <f>TRUNC(F25*1.2247,2)</f>
        <v>14.35</v>
      </c>
      <c r="H25" s="94">
        <f>TRUNC(F25*E25,2)</f>
        <v>23.44</v>
      </c>
      <c r="I25" s="95">
        <f>TRUNC(E25*G25,2)</f>
        <v>28.7</v>
      </c>
    </row>
    <row r="26" spans="1:9" s="96" customFormat="1" ht="99.75">
      <c r="A26" s="88" t="s">
        <v>197</v>
      </c>
      <c r="B26" s="89" t="s">
        <v>198</v>
      </c>
      <c r="C26" s="90" t="s">
        <v>199</v>
      </c>
      <c r="D26" s="91" t="s">
        <v>214</v>
      </c>
      <c r="E26" s="92">
        <v>2</v>
      </c>
      <c r="F26" s="93">
        <f>TRUNC('n DESONERADA'!F80,2)</f>
        <v>4015.14</v>
      </c>
      <c r="G26" s="94">
        <f>TRUNC(F26*1.2247,2)</f>
        <v>4917.34</v>
      </c>
      <c r="H26" s="94">
        <f>TRUNC(F26*E26,2)</f>
        <v>8030.28</v>
      </c>
      <c r="I26" s="95">
        <f>TRUNC(E26*G26,2)</f>
        <v>9834.68</v>
      </c>
    </row>
    <row r="27" spans="1:9" s="96" customFormat="1" ht="74.25">
      <c r="A27" s="88" t="s">
        <v>219</v>
      </c>
      <c r="B27" s="89" t="s">
        <v>212</v>
      </c>
      <c r="C27" s="90" t="s">
        <v>213</v>
      </c>
      <c r="D27" s="91" t="s">
        <v>214</v>
      </c>
      <c r="E27" s="92">
        <v>12</v>
      </c>
      <c r="F27" s="93">
        <f>TRUNC('n DESONERADA'!F92,2)</f>
        <v>52.55</v>
      </c>
      <c r="G27" s="94">
        <f>TRUNC(F27*1.2247,2)</f>
        <v>64.35</v>
      </c>
      <c r="H27" s="94">
        <f>TRUNC(F27*E27,2)</f>
        <v>630.6</v>
      </c>
      <c r="I27" s="95">
        <f>TRUNC(E27*G27,2)</f>
        <v>772.2</v>
      </c>
    </row>
    <row r="28" spans="1:9" s="40" customFormat="1" ht="15.75">
      <c r="A28" s="48" t="s">
        <v>42</v>
      </c>
      <c r="B28" s="50"/>
      <c r="C28" s="49"/>
      <c r="D28" s="50"/>
      <c r="E28" s="50"/>
      <c r="F28" s="50"/>
      <c r="G28" s="50" t="s">
        <v>76</v>
      </c>
      <c r="H28" s="51">
        <f>H23+H25+H24+H26+H27</f>
        <v>87849.83</v>
      </c>
      <c r="I28" s="51">
        <f>I23+I25+I24+I26+I27</f>
        <v>107586.84999999999</v>
      </c>
    </row>
    <row r="29" spans="1:9" s="39" customFormat="1" ht="15.75">
      <c r="A29" s="39" t="s">
        <v>15</v>
      </c>
      <c r="B29" s="46"/>
      <c r="C29" s="47" t="s">
        <v>17</v>
      </c>
      <c r="D29" s="47"/>
      <c r="E29" s="47"/>
      <c r="F29" s="47"/>
      <c r="G29" s="47"/>
      <c r="H29" s="47"/>
      <c r="I29" s="45"/>
    </row>
    <row r="30" spans="1:9" s="96" customFormat="1" ht="71.25">
      <c r="A30" s="88" t="s">
        <v>44</v>
      </c>
      <c r="B30" s="89" t="s">
        <v>87</v>
      </c>
      <c r="C30" s="90" t="s">
        <v>75</v>
      </c>
      <c r="D30" s="91" t="s">
        <v>0</v>
      </c>
      <c r="E30" s="92">
        <v>650.7</v>
      </c>
      <c r="F30" s="93">
        <f>TRUNC('n DESONERADA'!F100,2)</f>
        <v>17.49</v>
      </c>
      <c r="G30" s="94">
        <f>TRUNC(F30*1.2247,2)</f>
        <v>21.42</v>
      </c>
      <c r="H30" s="94">
        <f>TRUNC(F30*E30,2)</f>
        <v>11380.74</v>
      </c>
      <c r="I30" s="95">
        <f>TRUNC(E30*G30,2)</f>
        <v>13937.99</v>
      </c>
    </row>
    <row r="31" spans="1:9" s="40" customFormat="1" ht="15.75">
      <c r="A31" s="48" t="s">
        <v>42</v>
      </c>
      <c r="B31" s="50"/>
      <c r="C31" s="49"/>
      <c r="D31" s="50"/>
      <c r="E31" s="50"/>
      <c r="F31" s="50"/>
      <c r="G31" s="50" t="s">
        <v>45</v>
      </c>
      <c r="H31" s="53">
        <f>H30</f>
        <v>11380.74</v>
      </c>
      <c r="I31" s="53">
        <f>I30</f>
        <v>13937.99</v>
      </c>
    </row>
    <row r="32" spans="1:9" s="39" customFormat="1" ht="15.75">
      <c r="A32" s="39" t="s">
        <v>16</v>
      </c>
      <c r="B32" s="46"/>
      <c r="C32" s="47" t="s">
        <v>34</v>
      </c>
      <c r="D32" s="47"/>
      <c r="E32" s="47"/>
      <c r="F32" s="47"/>
      <c r="G32" s="47"/>
      <c r="H32" s="47"/>
      <c r="I32" s="45"/>
    </row>
    <row r="33" spans="1:9" s="96" customFormat="1" ht="42.75">
      <c r="A33" s="88" t="s">
        <v>11</v>
      </c>
      <c r="B33" s="89" t="s">
        <v>254</v>
      </c>
      <c r="C33" s="90" t="s">
        <v>253</v>
      </c>
      <c r="D33" s="91" t="s">
        <v>1</v>
      </c>
      <c r="E33" s="92">
        <v>39.63</v>
      </c>
      <c r="F33" s="93">
        <f>TRUNC('n DESONERADA'!F109,2)</f>
        <v>22.62</v>
      </c>
      <c r="G33" s="94">
        <f>TRUNC(F33*1.2247,2)</f>
        <v>27.7</v>
      </c>
      <c r="H33" s="94">
        <f>TRUNC(F33*E33,2)</f>
        <v>896.43</v>
      </c>
      <c r="I33" s="95">
        <f>TRUNC(E33*G33,2)</f>
        <v>1097.75</v>
      </c>
    </row>
    <row r="34" spans="1:12" s="96" customFormat="1" ht="71.25">
      <c r="A34" s="88" t="s">
        <v>12</v>
      </c>
      <c r="B34" s="89" t="s">
        <v>97</v>
      </c>
      <c r="C34" s="90" t="s">
        <v>94</v>
      </c>
      <c r="D34" s="91" t="s">
        <v>10</v>
      </c>
      <c r="E34" s="92">
        <v>8</v>
      </c>
      <c r="F34" s="93">
        <f>TRUNC('n DESONERADA'!F112,2)</f>
        <v>239.69</v>
      </c>
      <c r="G34" s="94">
        <f>TRUNC(F34*1.2247,2)</f>
        <v>293.54</v>
      </c>
      <c r="H34" s="94">
        <f>TRUNC(F34*E34,2)</f>
        <v>1917.52</v>
      </c>
      <c r="I34" s="95">
        <f>TRUNC(E34*G34,2)</f>
        <v>2348.32</v>
      </c>
      <c r="L34" s="96">
        <f>40/5</f>
        <v>8</v>
      </c>
    </row>
    <row r="35" spans="1:9" s="40" customFormat="1" ht="15.75">
      <c r="A35" s="74" t="s">
        <v>42</v>
      </c>
      <c r="B35" s="75"/>
      <c r="C35" s="76"/>
      <c r="D35" s="75"/>
      <c r="E35" s="75"/>
      <c r="F35" s="75" t="s">
        <v>47</v>
      </c>
      <c r="G35" s="75"/>
      <c r="H35" s="77">
        <f>H34+H33</f>
        <v>2813.95</v>
      </c>
      <c r="I35" s="77">
        <f>I34+I33</f>
        <v>3446.07</v>
      </c>
    </row>
    <row r="36" spans="1:9" s="40" customFormat="1" ht="15.75">
      <c r="A36" s="48" t="s">
        <v>42</v>
      </c>
      <c r="B36" s="50"/>
      <c r="C36" s="49"/>
      <c r="D36" s="50"/>
      <c r="E36" s="50"/>
      <c r="F36" s="50" t="s">
        <v>50</v>
      </c>
      <c r="G36" s="50"/>
      <c r="H36" s="52">
        <f>H35+H31+H28+H21</f>
        <v>145673.53000000003</v>
      </c>
      <c r="I36" s="52">
        <f>I35+I31+I28+I21</f>
        <v>178401.81</v>
      </c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39" r:id="rId2"/>
  <headerFooter>
    <oddFooter>&amp;C&amp;A&amp;RPágina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70" zoomScaleSheetLayoutView="70" zoomScalePageLayoutView="0" workbookViewId="0" topLeftCell="A97">
      <selection activeCell="I118" sqref="I118"/>
    </sheetView>
  </sheetViews>
  <sheetFormatPr defaultColWidth="9.140625" defaultRowHeight="15"/>
  <cols>
    <col min="2" max="2" width="23.421875" style="0" customWidth="1"/>
    <col min="3" max="3" width="90.42187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0" max="10" width="15.421875" style="0" customWidth="1"/>
  </cols>
  <sheetData>
    <row r="1" spans="1:7" ht="15.75">
      <c r="A1" s="2"/>
      <c r="B1" s="3"/>
      <c r="C1" s="4" t="s">
        <v>18</v>
      </c>
      <c r="D1" s="5"/>
      <c r="E1" s="6"/>
      <c r="F1" s="7"/>
      <c r="G1" s="8"/>
    </row>
    <row r="2" spans="1:7" ht="15.75">
      <c r="A2" s="9"/>
      <c r="B2" s="10"/>
      <c r="C2" s="11" t="s">
        <v>19</v>
      </c>
      <c r="D2" s="115" t="s">
        <v>100</v>
      </c>
      <c r="E2" s="116"/>
      <c r="F2" s="116"/>
      <c r="G2" s="117"/>
    </row>
    <row r="3" spans="1:7" ht="15.75">
      <c r="A3" s="9"/>
      <c r="B3" s="10"/>
      <c r="C3" s="11" t="s">
        <v>20</v>
      </c>
      <c r="D3" s="151">
        <v>44148</v>
      </c>
      <c r="E3" s="152"/>
      <c r="F3" s="152"/>
      <c r="G3" s="153"/>
    </row>
    <row r="4" spans="1:7" ht="15.75" customHeight="1">
      <c r="A4" s="9"/>
      <c r="B4" s="10"/>
      <c r="C4" s="12" t="s">
        <v>255</v>
      </c>
      <c r="D4" s="151" t="s">
        <v>258</v>
      </c>
      <c r="E4" s="152"/>
      <c r="F4" s="152"/>
      <c r="G4" s="153"/>
    </row>
    <row r="5" spans="1:7" ht="30" customHeight="1">
      <c r="A5" s="9"/>
      <c r="B5" s="10"/>
      <c r="C5" s="41" t="s">
        <v>256</v>
      </c>
      <c r="D5" s="151" t="s">
        <v>259</v>
      </c>
      <c r="E5" s="152"/>
      <c r="F5" s="152"/>
      <c r="G5" s="153"/>
    </row>
    <row r="6" spans="1:7" ht="15.75">
      <c r="A6" s="9"/>
      <c r="B6" s="10"/>
      <c r="C6" s="13" t="s">
        <v>262</v>
      </c>
      <c r="D6" s="151" t="s">
        <v>260</v>
      </c>
      <c r="E6" s="152"/>
      <c r="F6" s="152"/>
      <c r="G6" s="153"/>
    </row>
    <row r="7" spans="1:7" ht="15.75">
      <c r="A7" s="9"/>
      <c r="B7" s="10"/>
      <c r="C7" s="150"/>
      <c r="D7" s="151" t="s">
        <v>51</v>
      </c>
      <c r="E7" s="152"/>
      <c r="F7" s="152"/>
      <c r="G7" s="153"/>
    </row>
    <row r="8" spans="1:7" ht="15.75">
      <c r="A8" s="14"/>
      <c r="B8" s="15"/>
      <c r="C8" s="16"/>
      <c r="D8" s="151" t="s">
        <v>261</v>
      </c>
      <c r="E8" s="152"/>
      <c r="F8" s="152"/>
      <c r="G8" s="153"/>
    </row>
    <row r="9" spans="1:7" ht="15">
      <c r="A9" s="109" t="s">
        <v>21</v>
      </c>
      <c r="B9" s="110"/>
      <c r="C9" s="110"/>
      <c r="D9" s="110"/>
      <c r="E9" s="110"/>
      <c r="F9" s="110"/>
      <c r="G9" s="110"/>
    </row>
    <row r="10" spans="1:9" s="43" customFormat="1" ht="12.75" customHeight="1">
      <c r="A10" s="111" t="s">
        <v>22</v>
      </c>
      <c r="B10" s="112" t="s">
        <v>52</v>
      </c>
      <c r="C10" s="112" t="s">
        <v>23</v>
      </c>
      <c r="D10" s="111" t="s">
        <v>10</v>
      </c>
      <c r="E10" s="113" t="s">
        <v>24</v>
      </c>
      <c r="F10" s="114" t="s">
        <v>25</v>
      </c>
      <c r="G10" s="114"/>
      <c r="H10" s="114"/>
      <c r="I10" s="114"/>
    </row>
    <row r="11" spans="1:10" s="43" customFormat="1" ht="12.75" customHeight="1">
      <c r="A11" s="111"/>
      <c r="B11" s="112"/>
      <c r="C11" s="112"/>
      <c r="D11" s="111"/>
      <c r="E11" s="113"/>
      <c r="F11" s="44" t="s">
        <v>64</v>
      </c>
      <c r="G11" s="44" t="s">
        <v>65</v>
      </c>
      <c r="H11" s="44" t="s">
        <v>66</v>
      </c>
      <c r="I11" s="42" t="s">
        <v>67</v>
      </c>
      <c r="J11" s="43" t="s">
        <v>67</v>
      </c>
    </row>
    <row r="12" spans="1:9" s="39" customFormat="1" ht="15.75">
      <c r="A12" s="39" t="s">
        <v>13</v>
      </c>
      <c r="B12" s="46"/>
      <c r="C12" s="47" t="s">
        <v>41</v>
      </c>
      <c r="D12" s="47"/>
      <c r="E12" s="47"/>
      <c r="F12" s="47"/>
      <c r="G12" s="47"/>
      <c r="H12" s="47"/>
      <c r="I12" s="45"/>
    </row>
    <row r="13" spans="1:10" s="96" customFormat="1" ht="28.5">
      <c r="A13" s="88" t="s">
        <v>6</v>
      </c>
      <c r="B13" s="89" t="s">
        <v>127</v>
      </c>
      <c r="C13" s="90" t="s">
        <v>128</v>
      </c>
      <c r="D13" s="91" t="s">
        <v>2</v>
      </c>
      <c r="E13" s="92">
        <v>75</v>
      </c>
      <c r="F13" s="93">
        <f>TRUNC(G15,2)</f>
        <v>10.5</v>
      </c>
      <c r="G13" s="94">
        <f>TRUNC(F13*1.2882,2)</f>
        <v>13.52</v>
      </c>
      <c r="H13" s="94">
        <f>TRUNC(F13*E13,2)</f>
        <v>787.5</v>
      </c>
      <c r="I13" s="95">
        <f>TRUNC(E13*G13,2)</f>
        <v>1014</v>
      </c>
      <c r="J13" s="96">
        <v>1516.86</v>
      </c>
    </row>
    <row r="14" spans="1:9" s="60" customFormat="1" ht="28.5">
      <c r="A14" s="54"/>
      <c r="B14" s="55" t="s">
        <v>53</v>
      </c>
      <c r="C14" s="72" t="s">
        <v>54</v>
      </c>
      <c r="D14" s="56" t="s">
        <v>4</v>
      </c>
      <c r="E14" s="73">
        <v>0.7725</v>
      </c>
      <c r="F14" s="57">
        <f>TRUNC(13.6,2)</f>
        <v>13.6</v>
      </c>
      <c r="G14" s="58">
        <f>TRUNC(E14*F14,2)</f>
        <v>10.5</v>
      </c>
      <c r="H14" s="58"/>
      <c r="I14" s="59"/>
    </row>
    <row r="15" spans="1:9" s="60" customFormat="1" ht="14.25">
      <c r="A15" s="54"/>
      <c r="B15" s="55"/>
      <c r="C15" s="72"/>
      <c r="D15" s="56"/>
      <c r="E15" s="73" t="s">
        <v>5</v>
      </c>
      <c r="F15" s="57"/>
      <c r="G15" s="58">
        <f>TRUNC(SUM(G14:G14),2)</f>
        <v>10.5</v>
      </c>
      <c r="H15" s="58"/>
      <c r="I15" s="59"/>
    </row>
    <row r="16" spans="1:10" s="96" customFormat="1" ht="42.75">
      <c r="A16" s="88" t="s">
        <v>7</v>
      </c>
      <c r="B16" s="89" t="s">
        <v>129</v>
      </c>
      <c r="C16" s="90" t="s">
        <v>130</v>
      </c>
      <c r="D16" s="91" t="s">
        <v>1</v>
      </c>
      <c r="E16" s="92">
        <v>36.03</v>
      </c>
      <c r="F16" s="93">
        <f>TRUNC(G18,2)</f>
        <v>47.62</v>
      </c>
      <c r="G16" s="94">
        <f>TRUNC(F16*1.2882,2)</f>
        <v>61.34</v>
      </c>
      <c r="H16" s="94">
        <f>TRUNC(F16*E16,2)</f>
        <v>1715.74</v>
      </c>
      <c r="I16" s="95">
        <f>TRUNC(E16*G16,2)</f>
        <v>2210.08</v>
      </c>
      <c r="J16" s="96">
        <v>366.79</v>
      </c>
    </row>
    <row r="17" spans="1:9" s="60" customFormat="1" ht="28.5">
      <c r="A17" s="54"/>
      <c r="B17" s="55" t="s">
        <v>53</v>
      </c>
      <c r="C17" s="72" t="s">
        <v>54</v>
      </c>
      <c r="D17" s="56" t="s">
        <v>4</v>
      </c>
      <c r="E17" s="73">
        <v>3.502</v>
      </c>
      <c r="F17" s="57">
        <f>TRUNC(13.6,2)</f>
        <v>13.6</v>
      </c>
      <c r="G17" s="58">
        <f>TRUNC(E17*F17,2)</f>
        <v>47.62</v>
      </c>
      <c r="H17" s="58"/>
      <c r="I17" s="59"/>
    </row>
    <row r="18" spans="1:9" s="60" customFormat="1" ht="14.25">
      <c r="A18" s="54"/>
      <c r="B18" s="55"/>
      <c r="C18" s="72"/>
      <c r="D18" s="56"/>
      <c r="E18" s="73" t="s">
        <v>5</v>
      </c>
      <c r="F18" s="57"/>
      <c r="G18" s="58">
        <f>TRUNC(SUM(G17:G17),2)</f>
        <v>47.62</v>
      </c>
      <c r="H18" s="58"/>
      <c r="I18" s="59"/>
    </row>
    <row r="19" spans="1:10" s="96" customFormat="1" ht="42.75">
      <c r="A19" s="88" t="s">
        <v>8</v>
      </c>
      <c r="B19" s="89" t="s">
        <v>131</v>
      </c>
      <c r="C19" s="90" t="s">
        <v>132</v>
      </c>
      <c r="D19" s="91" t="s">
        <v>1</v>
      </c>
      <c r="E19" s="92">
        <v>29.18</v>
      </c>
      <c r="F19" s="93">
        <f>TRUNC(G24,2)</f>
        <v>18.6</v>
      </c>
      <c r="G19" s="94">
        <f>TRUNC(F19*1.2882,2)</f>
        <v>23.96</v>
      </c>
      <c r="H19" s="94">
        <f>TRUNC(F19*E19,2)</f>
        <v>542.74</v>
      </c>
      <c r="I19" s="95">
        <f>TRUNC(E19*G19,2)</f>
        <v>699.15</v>
      </c>
      <c r="J19" s="96">
        <v>3915.04</v>
      </c>
    </row>
    <row r="20" spans="1:9" s="60" customFormat="1" ht="28.5">
      <c r="A20" s="54"/>
      <c r="B20" s="55" t="s">
        <v>53</v>
      </c>
      <c r="C20" s="72" t="s">
        <v>54</v>
      </c>
      <c r="D20" s="56" t="s">
        <v>4</v>
      </c>
      <c r="E20" s="73">
        <v>1.09901</v>
      </c>
      <c r="F20" s="57">
        <f>TRUNC(13.6,2)</f>
        <v>13.6</v>
      </c>
      <c r="G20" s="58">
        <f>TRUNC(E20*F20,2)</f>
        <v>14.94</v>
      </c>
      <c r="H20" s="58"/>
      <c r="I20" s="59"/>
    </row>
    <row r="21" spans="1:9" s="60" customFormat="1" ht="28.5">
      <c r="A21" s="54"/>
      <c r="B21" s="55" t="s">
        <v>133</v>
      </c>
      <c r="C21" s="72" t="s">
        <v>134</v>
      </c>
      <c r="D21" s="56" t="s">
        <v>4</v>
      </c>
      <c r="E21" s="73">
        <v>0.13699</v>
      </c>
      <c r="F21" s="57">
        <f>TRUNC(21.1,2)</f>
        <v>21.1</v>
      </c>
      <c r="G21" s="58">
        <f>TRUNC(E21*F21,2)</f>
        <v>2.89</v>
      </c>
      <c r="H21" s="58"/>
      <c r="I21" s="59"/>
    </row>
    <row r="22" spans="1:9" s="60" customFormat="1" ht="14.25">
      <c r="A22" s="54"/>
      <c r="B22" s="55" t="s">
        <v>73</v>
      </c>
      <c r="C22" s="72" t="s">
        <v>69</v>
      </c>
      <c r="D22" s="56" t="s">
        <v>4</v>
      </c>
      <c r="E22" s="73">
        <v>0.033</v>
      </c>
      <c r="F22" s="57">
        <f>TRUNC(1.8173,2)</f>
        <v>1.81</v>
      </c>
      <c r="G22" s="58">
        <f>TRUNC(E22*F22,2)</f>
        <v>0.05</v>
      </c>
      <c r="H22" s="58"/>
      <c r="I22" s="59"/>
    </row>
    <row r="23" spans="1:9" s="60" customFormat="1" ht="14.25">
      <c r="A23" s="54"/>
      <c r="B23" s="55" t="s">
        <v>74</v>
      </c>
      <c r="C23" s="72" t="s">
        <v>68</v>
      </c>
      <c r="D23" s="56" t="s">
        <v>4</v>
      </c>
      <c r="E23" s="73">
        <v>0.1</v>
      </c>
      <c r="F23" s="57">
        <f>TRUNC(7.2702,2)</f>
        <v>7.27</v>
      </c>
      <c r="G23" s="58">
        <f>TRUNC(E23*F23,2)</f>
        <v>0.72</v>
      </c>
      <c r="H23" s="58"/>
      <c r="I23" s="59"/>
    </row>
    <row r="24" spans="1:9" s="60" customFormat="1" ht="14.25">
      <c r="A24" s="54"/>
      <c r="B24" s="55"/>
      <c r="C24" s="72"/>
      <c r="D24" s="56"/>
      <c r="E24" s="73" t="s">
        <v>5</v>
      </c>
      <c r="F24" s="57"/>
      <c r="G24" s="58">
        <f>TRUNC(SUM(G20:G23),2)</f>
        <v>18.6</v>
      </c>
      <c r="H24" s="58"/>
      <c r="I24" s="59"/>
    </row>
    <row r="25" spans="1:10" s="96" customFormat="1" ht="42.75">
      <c r="A25" s="88" t="s">
        <v>9</v>
      </c>
      <c r="B25" s="89" t="s">
        <v>135</v>
      </c>
      <c r="C25" s="90" t="s">
        <v>136</v>
      </c>
      <c r="D25" s="91" t="s">
        <v>1</v>
      </c>
      <c r="E25" s="92">
        <v>74.25</v>
      </c>
      <c r="F25" s="93">
        <f>TRUNC(G29,2)</f>
        <v>467.2</v>
      </c>
      <c r="G25" s="94">
        <f>TRUNC(F25*1.2882,2)</f>
        <v>601.84</v>
      </c>
      <c r="H25" s="94">
        <f>TRUNC(F25*E25,2)</f>
        <v>34689.6</v>
      </c>
      <c r="I25" s="95">
        <f>TRUNC(E25*G25,2)</f>
        <v>44686.62</v>
      </c>
      <c r="J25" s="96">
        <v>2455.37</v>
      </c>
    </row>
    <row r="26" spans="1:9" s="60" customFormat="1" ht="14.25">
      <c r="A26" s="54"/>
      <c r="B26" s="55" t="s">
        <v>137</v>
      </c>
      <c r="C26" s="72" t="s">
        <v>138</v>
      </c>
      <c r="D26" s="56" t="s">
        <v>1</v>
      </c>
      <c r="E26" s="73">
        <v>1</v>
      </c>
      <c r="F26" s="57">
        <f>TRUNC(100.9703,2)</f>
        <v>100.97</v>
      </c>
      <c r="G26" s="58">
        <f>TRUNC(E26*F26,2)</f>
        <v>100.97</v>
      </c>
      <c r="H26" s="58"/>
      <c r="I26" s="59"/>
    </row>
    <row r="27" spans="1:9" s="60" customFormat="1" ht="14.25">
      <c r="A27" s="54"/>
      <c r="B27" s="55" t="s">
        <v>139</v>
      </c>
      <c r="C27" s="72" t="s">
        <v>140</v>
      </c>
      <c r="D27" s="56" t="s">
        <v>1</v>
      </c>
      <c r="E27" s="73">
        <v>1</v>
      </c>
      <c r="F27" s="57">
        <f>TRUNC(67.562,2)</f>
        <v>67.56</v>
      </c>
      <c r="G27" s="58">
        <f>TRUNC(E27*F27,2)</f>
        <v>67.56</v>
      </c>
      <c r="H27" s="58"/>
      <c r="I27" s="59"/>
    </row>
    <row r="28" spans="1:9" s="60" customFormat="1" ht="14.25">
      <c r="A28" s="54"/>
      <c r="B28" s="55" t="s">
        <v>141</v>
      </c>
      <c r="C28" s="72" t="s">
        <v>142</v>
      </c>
      <c r="D28" s="56" t="s">
        <v>1</v>
      </c>
      <c r="E28" s="73">
        <v>1</v>
      </c>
      <c r="F28" s="57">
        <f>TRUNC(298.6701,2)</f>
        <v>298.67</v>
      </c>
      <c r="G28" s="58">
        <f>TRUNC(E28*F28,2)</f>
        <v>298.67</v>
      </c>
      <c r="H28" s="58"/>
      <c r="I28" s="59"/>
    </row>
    <row r="29" spans="1:9" s="60" customFormat="1" ht="14.25">
      <c r="A29" s="54"/>
      <c r="B29" s="55"/>
      <c r="C29" s="72"/>
      <c r="D29" s="56"/>
      <c r="E29" s="73" t="s">
        <v>5</v>
      </c>
      <c r="F29" s="57"/>
      <c r="G29" s="58">
        <f>TRUNC(SUM(G26:G28),2)</f>
        <v>467.2</v>
      </c>
      <c r="H29" s="58"/>
      <c r="I29" s="59"/>
    </row>
    <row r="30" spans="1:10" s="96" customFormat="1" ht="71.25">
      <c r="A30" s="88" t="s">
        <v>90</v>
      </c>
      <c r="B30" s="89" t="s">
        <v>143</v>
      </c>
      <c r="C30" s="90" t="s">
        <v>144</v>
      </c>
      <c r="D30" s="91" t="s">
        <v>3</v>
      </c>
      <c r="E30" s="92">
        <v>53.36</v>
      </c>
      <c r="F30" s="93">
        <f>TRUNC(G34,2)</f>
        <v>4.32</v>
      </c>
      <c r="G30" s="94">
        <f>TRUNC(F30*1.2882,2)</f>
        <v>5.56</v>
      </c>
      <c r="H30" s="94">
        <f>TRUNC(F30*E30,2)</f>
        <v>230.51</v>
      </c>
      <c r="I30" s="95">
        <f>TRUNC(E30*G30,2)</f>
        <v>296.68</v>
      </c>
      <c r="J30" s="96">
        <v>112.76</v>
      </c>
    </row>
    <row r="31" spans="1:9" s="60" customFormat="1" ht="14.25">
      <c r="A31" s="54"/>
      <c r="B31" s="55" t="s">
        <v>145</v>
      </c>
      <c r="C31" s="72" t="s">
        <v>146</v>
      </c>
      <c r="D31" s="56" t="s">
        <v>3</v>
      </c>
      <c r="E31" s="73">
        <v>0.55</v>
      </c>
      <c r="F31" s="57">
        <f>TRUNC(3.702,2)</f>
        <v>3.7</v>
      </c>
      <c r="G31" s="58">
        <f>TRUNC(E31*F31,2)</f>
        <v>2.03</v>
      </c>
      <c r="H31" s="58"/>
      <c r="I31" s="59"/>
    </row>
    <row r="32" spans="1:9" s="60" customFormat="1" ht="14.25">
      <c r="A32" s="54"/>
      <c r="B32" s="55" t="s">
        <v>147</v>
      </c>
      <c r="C32" s="72" t="s">
        <v>148</v>
      </c>
      <c r="D32" s="56" t="s">
        <v>3</v>
      </c>
      <c r="E32" s="73">
        <v>0.55</v>
      </c>
      <c r="F32" s="57">
        <f>TRUNC(3.8403,2)</f>
        <v>3.84</v>
      </c>
      <c r="G32" s="58">
        <f>TRUNC(E32*F32,2)</f>
        <v>2.11</v>
      </c>
      <c r="H32" s="58"/>
      <c r="I32" s="59"/>
    </row>
    <row r="33" spans="1:9" s="60" customFormat="1" ht="14.25">
      <c r="A33" s="54"/>
      <c r="B33" s="55" t="s">
        <v>149</v>
      </c>
      <c r="C33" s="72" t="s">
        <v>150</v>
      </c>
      <c r="D33" s="56" t="s">
        <v>3</v>
      </c>
      <c r="E33" s="73">
        <v>0.03</v>
      </c>
      <c r="F33" s="57">
        <f>TRUNC(6.1083,2)</f>
        <v>6.1</v>
      </c>
      <c r="G33" s="58">
        <f>TRUNC(E33*F33,2)</f>
        <v>0.18</v>
      </c>
      <c r="H33" s="58"/>
      <c r="I33" s="59"/>
    </row>
    <row r="34" spans="1:9" s="60" customFormat="1" ht="14.25">
      <c r="A34" s="54"/>
      <c r="B34" s="55"/>
      <c r="C34" s="72"/>
      <c r="D34" s="56"/>
      <c r="E34" s="73" t="s">
        <v>5</v>
      </c>
      <c r="F34" s="57"/>
      <c r="G34" s="58">
        <f>TRUNC(SUM(G31:G33),2)</f>
        <v>4.32</v>
      </c>
      <c r="H34" s="58"/>
      <c r="I34" s="59"/>
    </row>
    <row r="35" spans="1:10" s="96" customFormat="1" ht="28.5">
      <c r="A35" s="88" t="s">
        <v>91</v>
      </c>
      <c r="B35" s="89" t="s">
        <v>151</v>
      </c>
      <c r="C35" s="90" t="s">
        <v>152</v>
      </c>
      <c r="D35" s="91" t="s">
        <v>3</v>
      </c>
      <c r="E35" s="92">
        <v>53.36</v>
      </c>
      <c r="F35" s="93">
        <f>TRUNC(G41,2)</f>
        <v>15.14</v>
      </c>
      <c r="G35" s="94">
        <f>TRUNC(F35*1.2882,2)</f>
        <v>19.5</v>
      </c>
      <c r="H35" s="94">
        <f>TRUNC(F35*E35,2)</f>
        <v>807.87</v>
      </c>
      <c r="I35" s="95">
        <f>TRUNC(E35*G35,2)</f>
        <v>1040.52</v>
      </c>
      <c r="J35" s="96">
        <v>1356.79</v>
      </c>
    </row>
    <row r="36" spans="1:9" s="60" customFormat="1" ht="28.5">
      <c r="A36" s="54"/>
      <c r="B36" s="55" t="s">
        <v>153</v>
      </c>
      <c r="C36" s="72" t="s">
        <v>154</v>
      </c>
      <c r="D36" s="56" t="s">
        <v>3</v>
      </c>
      <c r="E36" s="73">
        <v>0.025</v>
      </c>
      <c r="F36" s="57">
        <f>TRUNC(14.5,2)</f>
        <v>14.5</v>
      </c>
      <c r="G36" s="58">
        <f>TRUNC(E36*F36,2)</f>
        <v>0.36</v>
      </c>
      <c r="H36" s="58"/>
      <c r="I36" s="59"/>
    </row>
    <row r="37" spans="1:9" s="60" customFormat="1" ht="28.5">
      <c r="A37" s="54"/>
      <c r="B37" s="55" t="s">
        <v>155</v>
      </c>
      <c r="C37" s="72" t="s">
        <v>156</v>
      </c>
      <c r="D37" s="56" t="s">
        <v>10</v>
      </c>
      <c r="E37" s="73">
        <v>1.9665</v>
      </c>
      <c r="F37" s="57">
        <f>TRUNC(0.27,2)</f>
        <v>0.27</v>
      </c>
      <c r="G37" s="58">
        <f>TRUNC(E37*F37,2)</f>
        <v>0.53</v>
      </c>
      <c r="H37" s="58"/>
      <c r="I37" s="59"/>
    </row>
    <row r="38" spans="1:9" s="60" customFormat="1" ht="14.25">
      <c r="A38" s="54"/>
      <c r="B38" s="55" t="s">
        <v>104</v>
      </c>
      <c r="C38" s="72" t="s">
        <v>98</v>
      </c>
      <c r="D38" s="56" t="s">
        <v>4</v>
      </c>
      <c r="E38" s="73">
        <v>0.1945</v>
      </c>
      <c r="F38" s="57">
        <f>TRUNC(25.15,2)</f>
        <v>25.15</v>
      </c>
      <c r="G38" s="58">
        <f>TRUNC(E38*F38,2)</f>
        <v>4.89</v>
      </c>
      <c r="H38" s="58"/>
      <c r="I38" s="59"/>
    </row>
    <row r="39" spans="1:9" s="60" customFormat="1" ht="14.25">
      <c r="A39" s="54"/>
      <c r="B39" s="55" t="s">
        <v>105</v>
      </c>
      <c r="C39" s="72" t="s">
        <v>99</v>
      </c>
      <c r="D39" s="56" t="s">
        <v>4</v>
      </c>
      <c r="E39" s="73">
        <v>0.0635</v>
      </c>
      <c r="F39" s="57">
        <f>TRUNC(19.59,2)</f>
        <v>19.59</v>
      </c>
      <c r="G39" s="58">
        <f>TRUNC(E39*F39,2)</f>
        <v>1.24</v>
      </c>
      <c r="H39" s="58"/>
      <c r="I39" s="59"/>
    </row>
    <row r="40" spans="1:9" s="60" customFormat="1" ht="28.5">
      <c r="A40" s="54"/>
      <c r="B40" s="55" t="s">
        <v>157</v>
      </c>
      <c r="C40" s="72" t="s">
        <v>158</v>
      </c>
      <c r="D40" s="56" t="s">
        <v>3</v>
      </c>
      <c r="E40" s="73">
        <v>1</v>
      </c>
      <c r="F40" s="57">
        <f>TRUNC(8.12,2)</f>
        <v>8.12</v>
      </c>
      <c r="G40" s="58">
        <f>TRUNC(E40*F40,2)</f>
        <v>8.12</v>
      </c>
      <c r="H40" s="58"/>
      <c r="I40" s="59"/>
    </row>
    <row r="41" spans="1:9" s="60" customFormat="1" ht="14.25">
      <c r="A41" s="54"/>
      <c r="B41" s="55"/>
      <c r="C41" s="72"/>
      <c r="D41" s="56"/>
      <c r="E41" s="73" t="s">
        <v>5</v>
      </c>
      <c r="F41" s="57"/>
      <c r="G41" s="58">
        <f>TRUNC(SUM(G36:G40),2)</f>
        <v>15.14</v>
      </c>
      <c r="H41" s="58"/>
      <c r="I41" s="59"/>
    </row>
    <row r="42" spans="1:10" s="96" customFormat="1" ht="57">
      <c r="A42" s="88" t="s">
        <v>161</v>
      </c>
      <c r="B42" s="89" t="s">
        <v>159</v>
      </c>
      <c r="C42" s="90" t="s">
        <v>160</v>
      </c>
      <c r="D42" s="91" t="s">
        <v>3</v>
      </c>
      <c r="E42" s="92">
        <v>81.87</v>
      </c>
      <c r="F42" s="93">
        <f>TRUNC(G48,2)</f>
        <v>13.35</v>
      </c>
      <c r="G42" s="94">
        <f>TRUNC(F42*1.2882,2)</f>
        <v>17.19</v>
      </c>
      <c r="H42" s="94">
        <f>TRUNC(F42*E42,2)</f>
        <v>1092.96</v>
      </c>
      <c r="I42" s="95">
        <f>TRUNC(E42*G42,2)</f>
        <v>1407.34</v>
      </c>
      <c r="J42" s="96">
        <v>51.73</v>
      </c>
    </row>
    <row r="43" spans="1:9" s="60" customFormat="1" ht="28.5">
      <c r="A43" s="54"/>
      <c r="B43" s="55" t="s">
        <v>155</v>
      </c>
      <c r="C43" s="72" t="s">
        <v>156</v>
      </c>
      <c r="D43" s="56" t="s">
        <v>10</v>
      </c>
      <c r="E43" s="108">
        <v>1.9665</v>
      </c>
      <c r="F43" s="57">
        <v>0.27</v>
      </c>
      <c r="G43" s="58">
        <f>TRUNC(E43*F43,2)</f>
        <v>0.53</v>
      </c>
      <c r="H43" s="58"/>
      <c r="I43" s="59"/>
    </row>
    <row r="44" spans="1:9" s="60" customFormat="1" ht="28.5">
      <c r="A44" s="54"/>
      <c r="B44" s="55" t="s">
        <v>153</v>
      </c>
      <c r="C44" s="72" t="s">
        <v>154</v>
      </c>
      <c r="D44" s="56" t="s">
        <v>3</v>
      </c>
      <c r="E44" s="107">
        <v>0.025</v>
      </c>
      <c r="F44" s="57">
        <v>14.5</v>
      </c>
      <c r="G44" s="58">
        <f>TRUNC(E44*F44,2)</f>
        <v>0.36</v>
      </c>
      <c r="H44" s="58"/>
      <c r="I44" s="59"/>
    </row>
    <row r="45" spans="1:11" s="60" customFormat="1" ht="14.25">
      <c r="A45" s="54"/>
      <c r="B45" s="55" t="s">
        <v>169</v>
      </c>
      <c r="C45" s="72" t="s">
        <v>170</v>
      </c>
      <c r="D45" s="56" t="s">
        <v>4</v>
      </c>
      <c r="E45" s="107">
        <v>0.0635</v>
      </c>
      <c r="F45" s="57">
        <v>12.69</v>
      </c>
      <c r="G45" s="58">
        <f>TRUNC(E45*F45,2)</f>
        <v>0.8</v>
      </c>
      <c r="H45" s="58"/>
      <c r="I45" s="59"/>
      <c r="K45" s="60" t="s">
        <v>173</v>
      </c>
    </row>
    <row r="46" spans="1:9" s="60" customFormat="1" ht="14.25">
      <c r="A46" s="54"/>
      <c r="B46" s="55" t="s">
        <v>171</v>
      </c>
      <c r="C46" s="72" t="s">
        <v>172</v>
      </c>
      <c r="D46" s="56" t="s">
        <v>4</v>
      </c>
      <c r="E46" s="107">
        <v>0.1945</v>
      </c>
      <c r="F46" s="57">
        <v>18.21</v>
      </c>
      <c r="G46" s="58">
        <f>TRUNC(E46*F46,2)</f>
        <v>3.54</v>
      </c>
      <c r="H46" s="58"/>
      <c r="I46" s="59"/>
    </row>
    <row r="47" spans="1:9" s="60" customFormat="1" ht="28.5">
      <c r="A47" s="54"/>
      <c r="B47" s="55" t="s">
        <v>157</v>
      </c>
      <c r="C47" s="72" t="s">
        <v>168</v>
      </c>
      <c r="D47" s="56" t="s">
        <v>3</v>
      </c>
      <c r="E47" s="107">
        <v>1</v>
      </c>
      <c r="F47" s="57">
        <f>TRUNC(8.126907,2)</f>
        <v>8.12</v>
      </c>
      <c r="G47" s="58">
        <f>TRUNC(E47*F47,2)</f>
        <v>8.12</v>
      </c>
      <c r="H47" s="58"/>
      <c r="I47" s="59"/>
    </row>
    <row r="48" spans="1:9" s="60" customFormat="1" ht="14.25">
      <c r="A48" s="54"/>
      <c r="B48" s="55"/>
      <c r="C48" s="72"/>
      <c r="D48" s="56"/>
      <c r="E48" s="73" t="s">
        <v>5</v>
      </c>
      <c r="F48" s="57"/>
      <c r="G48" s="58">
        <f>TRUNC(SUM(G43:G47),2)</f>
        <v>13.35</v>
      </c>
      <c r="H48" s="58"/>
      <c r="I48" s="59"/>
    </row>
    <row r="49" spans="1:10" s="96" customFormat="1" ht="57">
      <c r="A49" s="88" t="s">
        <v>124</v>
      </c>
      <c r="B49" s="89" t="s">
        <v>162</v>
      </c>
      <c r="C49" s="90" t="s">
        <v>163</v>
      </c>
      <c r="D49" s="91" t="s">
        <v>0</v>
      </c>
      <c r="E49" s="92">
        <v>22.79</v>
      </c>
      <c r="F49" s="93">
        <f>TRUNC(G54,2)</f>
        <v>58.04</v>
      </c>
      <c r="G49" s="94">
        <f>TRUNC(F49*1.2882,2)</f>
        <v>74.76</v>
      </c>
      <c r="H49" s="94">
        <f>TRUNC(F49*E49,2)</f>
        <v>1322.73</v>
      </c>
      <c r="I49" s="95">
        <f>TRUNC(E49*G49,2)</f>
        <v>1703.78</v>
      </c>
      <c r="J49" s="96">
        <v>521.68</v>
      </c>
    </row>
    <row r="50" spans="1:9" s="60" customFormat="1" ht="14.25">
      <c r="A50" s="54"/>
      <c r="B50" s="55" t="s">
        <v>164</v>
      </c>
      <c r="C50" s="72" t="s">
        <v>165</v>
      </c>
      <c r="D50" s="56" t="s">
        <v>10</v>
      </c>
      <c r="E50" s="73">
        <v>13</v>
      </c>
      <c r="F50" s="57">
        <f>TRUNC(2.02,2)</f>
        <v>2.02</v>
      </c>
      <c r="G50" s="58">
        <f>TRUNC(E50*F50,2)</f>
        <v>26.26</v>
      </c>
      <c r="H50" s="58"/>
      <c r="I50" s="59"/>
    </row>
    <row r="51" spans="1:9" s="60" customFormat="1" ht="28.5">
      <c r="A51" s="54"/>
      <c r="B51" s="55" t="s">
        <v>53</v>
      </c>
      <c r="C51" s="72" t="s">
        <v>54</v>
      </c>
      <c r="D51" s="56" t="s">
        <v>4</v>
      </c>
      <c r="E51" s="73">
        <v>0.8549</v>
      </c>
      <c r="F51" s="57">
        <f>TRUNC(13.6,2)</f>
        <v>13.6</v>
      </c>
      <c r="G51" s="58">
        <f>TRUNC(E51*F51,2)</f>
        <v>11.62</v>
      </c>
      <c r="H51" s="58"/>
      <c r="I51" s="59"/>
    </row>
    <row r="52" spans="1:9" s="60" customFormat="1" ht="14.25">
      <c r="A52" s="54"/>
      <c r="B52" s="55" t="s">
        <v>57</v>
      </c>
      <c r="C52" s="72" t="s">
        <v>58</v>
      </c>
      <c r="D52" s="56" t="s">
        <v>4</v>
      </c>
      <c r="E52" s="73">
        <v>0.8549</v>
      </c>
      <c r="F52" s="57">
        <f>TRUNC(18.77,2)</f>
        <v>18.77</v>
      </c>
      <c r="G52" s="58">
        <f>TRUNC(E52*F52,2)</f>
        <v>16.04</v>
      </c>
      <c r="H52" s="58"/>
      <c r="I52" s="59"/>
    </row>
    <row r="53" spans="1:9" s="60" customFormat="1" ht="14.25">
      <c r="A53" s="54"/>
      <c r="B53" s="55" t="s">
        <v>166</v>
      </c>
      <c r="C53" s="72" t="s">
        <v>167</v>
      </c>
      <c r="D53" s="56" t="s">
        <v>1</v>
      </c>
      <c r="E53" s="73">
        <v>0.015</v>
      </c>
      <c r="F53" s="57">
        <f>TRUNC(275.3147,2)</f>
        <v>275.31</v>
      </c>
      <c r="G53" s="58">
        <f>TRUNC(E53*F53,2)</f>
        <v>4.12</v>
      </c>
      <c r="H53" s="58"/>
      <c r="I53" s="59"/>
    </row>
    <row r="54" spans="1:9" s="60" customFormat="1" ht="14.25">
      <c r="A54" s="54"/>
      <c r="B54" s="55"/>
      <c r="C54" s="72"/>
      <c r="D54" s="56"/>
      <c r="E54" s="73" t="s">
        <v>5</v>
      </c>
      <c r="F54" s="57"/>
      <c r="G54" s="58">
        <f>TRUNC(SUM(G50:G53),2)</f>
        <v>58.04</v>
      </c>
      <c r="H54" s="58"/>
      <c r="I54" s="59"/>
    </row>
    <row r="55" spans="1:10" s="40" customFormat="1" ht="15.75">
      <c r="A55" s="48" t="s">
        <v>42</v>
      </c>
      <c r="B55" s="50"/>
      <c r="C55" s="49"/>
      <c r="D55" s="50"/>
      <c r="E55" s="50"/>
      <c r="F55" s="50"/>
      <c r="G55" s="50" t="s">
        <v>46</v>
      </c>
      <c r="H55" s="52">
        <f>H30+H25+H19+H16+H13+H35+H42+H49</f>
        <v>41189.65</v>
      </c>
      <c r="I55" s="52">
        <f>I30+I25+I19+I16+I13+I35+I42+I49</f>
        <v>53058.17</v>
      </c>
      <c r="J55" s="40">
        <v>10297.02</v>
      </c>
    </row>
    <row r="56" spans="1:9" s="39" customFormat="1" ht="15.75">
      <c r="A56" s="39" t="s">
        <v>14</v>
      </c>
      <c r="B56" s="46"/>
      <c r="C56" s="47" t="s">
        <v>174</v>
      </c>
      <c r="D56" s="47"/>
      <c r="E56" s="47"/>
      <c r="F56" s="47"/>
      <c r="G56" s="47"/>
      <c r="H56" s="47"/>
      <c r="I56" s="45"/>
    </row>
    <row r="57" spans="1:10" s="96" customFormat="1" ht="42.75">
      <c r="A57" s="88" t="s">
        <v>43</v>
      </c>
      <c r="B57" s="89" t="s">
        <v>112</v>
      </c>
      <c r="C57" s="90" t="s">
        <v>96</v>
      </c>
      <c r="D57" s="91" t="s">
        <v>0</v>
      </c>
      <c r="E57" s="92">
        <v>422.94</v>
      </c>
      <c r="F57" s="93">
        <f>TRUNC(G65,2)</f>
        <v>182.26</v>
      </c>
      <c r="G57" s="94">
        <f>TRUNC(F57*1.2882,2)</f>
        <v>234.78</v>
      </c>
      <c r="H57" s="94">
        <f>TRUNC(F57*E57,2)</f>
        <v>77085.04</v>
      </c>
      <c r="I57" s="95">
        <f>TRUNC(E57*G57,2)</f>
        <v>99297.85</v>
      </c>
      <c r="J57" s="96">
        <v>85154.98</v>
      </c>
    </row>
    <row r="58" spans="1:9" s="60" customFormat="1" ht="28.5">
      <c r="A58" s="54"/>
      <c r="B58" s="99" t="s">
        <v>113</v>
      </c>
      <c r="C58" s="72" t="s">
        <v>114</v>
      </c>
      <c r="D58" s="56" t="s">
        <v>3</v>
      </c>
      <c r="E58" s="99">
        <v>0.15</v>
      </c>
      <c r="F58" s="57">
        <f>TRUNC(16.84,2)</f>
        <v>16.84</v>
      </c>
      <c r="G58" s="58">
        <f aca="true" t="shared" si="0" ref="G58:G63">TRUNC(E58*F58,2)</f>
        <v>2.52</v>
      </c>
      <c r="H58" s="58"/>
      <c r="I58" s="59"/>
    </row>
    <row r="59" spans="1:9" s="60" customFormat="1" ht="28.5">
      <c r="A59" s="54"/>
      <c r="B59" s="99" t="s">
        <v>115</v>
      </c>
      <c r="C59" s="72" t="s">
        <v>116</v>
      </c>
      <c r="D59" s="56" t="s">
        <v>3</v>
      </c>
      <c r="E59" s="99">
        <v>0</v>
      </c>
      <c r="F59" s="57">
        <f>TRUNC(14.5,2)</f>
        <v>14.5</v>
      </c>
      <c r="G59" s="58">
        <f t="shared" si="0"/>
        <v>0</v>
      </c>
      <c r="H59" s="58"/>
      <c r="I59" s="59"/>
    </row>
    <row r="60" spans="1:9" s="86" customFormat="1" ht="15">
      <c r="A60" s="80"/>
      <c r="B60" s="103" t="s">
        <v>177</v>
      </c>
      <c r="C60" s="82" t="s">
        <v>178</v>
      </c>
      <c r="D60" s="83" t="s">
        <v>0</v>
      </c>
      <c r="E60" s="84">
        <v>1.05</v>
      </c>
      <c r="F60" s="85">
        <v>20.59</v>
      </c>
      <c r="G60" s="70">
        <f t="shared" si="0"/>
        <v>21.61</v>
      </c>
      <c r="H60" s="70"/>
      <c r="I60" s="71"/>
    </row>
    <row r="61" spans="1:9" s="60" customFormat="1" ht="28.5">
      <c r="A61" s="54"/>
      <c r="B61" s="99" t="s">
        <v>106</v>
      </c>
      <c r="C61" s="72" t="s">
        <v>70</v>
      </c>
      <c r="D61" s="56" t="s">
        <v>2</v>
      </c>
      <c r="E61" s="99">
        <v>1.68</v>
      </c>
      <c r="F61" s="57">
        <f>TRUNC(59.31,2)</f>
        <v>59.31</v>
      </c>
      <c r="G61" s="58">
        <f t="shared" si="0"/>
        <v>99.64</v>
      </c>
      <c r="H61" s="58"/>
      <c r="I61" s="59"/>
    </row>
    <row r="62" spans="1:9" s="60" customFormat="1" ht="28.5">
      <c r="A62" s="54"/>
      <c r="B62" s="99" t="s">
        <v>175</v>
      </c>
      <c r="C62" s="72" t="s">
        <v>176</v>
      </c>
      <c r="D62" s="56" t="s">
        <v>0</v>
      </c>
      <c r="E62" s="99">
        <v>1.05</v>
      </c>
      <c r="F62" s="57">
        <f>TRUNC(24.59,2)</f>
        <v>24.59</v>
      </c>
      <c r="G62" s="58">
        <f t="shared" si="0"/>
        <v>25.81</v>
      </c>
      <c r="H62" s="58"/>
      <c r="I62" s="59"/>
    </row>
    <row r="63" spans="1:9" s="60" customFormat="1" ht="15">
      <c r="A63" s="54"/>
      <c r="B63" s="99" t="s">
        <v>103</v>
      </c>
      <c r="C63" s="72" t="s">
        <v>71</v>
      </c>
      <c r="D63" s="56" t="s">
        <v>4</v>
      </c>
      <c r="E63" s="99">
        <v>1</v>
      </c>
      <c r="F63" s="57">
        <f>TRUNC(20.11,2)</f>
        <v>20.11</v>
      </c>
      <c r="G63" s="58">
        <f t="shared" si="0"/>
        <v>20.11</v>
      </c>
      <c r="H63" s="58"/>
      <c r="I63" s="59"/>
    </row>
    <row r="64" spans="1:9" s="60" customFormat="1" ht="15">
      <c r="A64" s="54"/>
      <c r="B64" s="99" t="s">
        <v>107</v>
      </c>
      <c r="C64" s="72" t="s">
        <v>72</v>
      </c>
      <c r="D64" s="56" t="s">
        <v>4</v>
      </c>
      <c r="E64" s="99">
        <v>0.5</v>
      </c>
      <c r="F64" s="57">
        <f>TRUNC(25.15,2)</f>
        <v>25.15</v>
      </c>
      <c r="G64" s="58">
        <f>TRUNC(E64*F64,2)</f>
        <v>12.57</v>
      </c>
      <c r="H64" s="58"/>
      <c r="I64" s="59"/>
    </row>
    <row r="65" spans="1:9" s="60" customFormat="1" ht="15">
      <c r="A65" s="54"/>
      <c r="B65" s="99"/>
      <c r="C65" s="72"/>
      <c r="D65" s="56"/>
      <c r="E65" s="99" t="s">
        <v>5</v>
      </c>
      <c r="F65" s="57"/>
      <c r="G65" s="58">
        <f>TRUNC(SUM(G58:G64),2)</f>
        <v>182.26</v>
      </c>
      <c r="H65" s="58"/>
      <c r="I65" s="59"/>
    </row>
    <row r="66" spans="1:10" s="96" customFormat="1" ht="71.25">
      <c r="A66" s="88" t="s">
        <v>92</v>
      </c>
      <c r="B66" s="89" t="s">
        <v>179</v>
      </c>
      <c r="C66" s="90" t="s">
        <v>180</v>
      </c>
      <c r="D66" s="91" t="s">
        <v>2</v>
      </c>
      <c r="E66" s="92">
        <v>1.44</v>
      </c>
      <c r="F66" s="93">
        <f>TRUNC(G70,2)</f>
        <v>79.29</v>
      </c>
      <c r="G66" s="94">
        <f>TRUNC(F66*1.2882,2)</f>
        <v>102.14</v>
      </c>
      <c r="H66" s="94">
        <f>TRUNC(F66*E66,2)</f>
        <v>114.17</v>
      </c>
      <c r="I66" s="95">
        <f>TRUNC(E66*G66,2)</f>
        <v>147.08</v>
      </c>
      <c r="J66" s="96">
        <v>3793.56</v>
      </c>
    </row>
    <row r="67" spans="1:9" s="60" customFormat="1" ht="15">
      <c r="A67" s="54"/>
      <c r="B67" s="99" t="s">
        <v>181</v>
      </c>
      <c r="C67" s="72" t="s">
        <v>182</v>
      </c>
      <c r="D67" s="56" t="s">
        <v>2</v>
      </c>
      <c r="E67" s="99">
        <v>1.265</v>
      </c>
      <c r="F67" s="57">
        <f>TRUNC(48.93,2)</f>
        <v>48.93</v>
      </c>
      <c r="G67" s="58">
        <f>TRUNC(E67*F67,2)</f>
        <v>61.89</v>
      </c>
      <c r="H67" s="58"/>
      <c r="I67" s="59"/>
    </row>
    <row r="68" spans="1:9" s="60" customFormat="1" ht="28.5">
      <c r="A68" s="54"/>
      <c r="B68" s="99" t="s">
        <v>53</v>
      </c>
      <c r="C68" s="72" t="s">
        <v>54</v>
      </c>
      <c r="D68" s="56" t="s">
        <v>4</v>
      </c>
      <c r="E68" s="99">
        <v>0.515</v>
      </c>
      <c r="F68" s="57">
        <f>TRUNC(13.6,2)</f>
        <v>13.6</v>
      </c>
      <c r="G68" s="58">
        <f>TRUNC(E68*F68,2)</f>
        <v>7</v>
      </c>
      <c r="H68" s="58"/>
      <c r="I68" s="59"/>
    </row>
    <row r="69" spans="1:9" s="60" customFormat="1" ht="28.5">
      <c r="A69" s="54"/>
      <c r="B69" s="99" t="s">
        <v>125</v>
      </c>
      <c r="C69" s="72" t="s">
        <v>126</v>
      </c>
      <c r="D69" s="56" t="s">
        <v>4</v>
      </c>
      <c r="E69" s="99">
        <v>0.515</v>
      </c>
      <c r="F69" s="57">
        <f>TRUNC(20.21,2)</f>
        <v>20.21</v>
      </c>
      <c r="G69" s="58">
        <f>TRUNC(E69*F69,2)</f>
        <v>10.4</v>
      </c>
      <c r="H69" s="58"/>
      <c r="I69" s="59"/>
    </row>
    <row r="70" spans="1:9" s="60" customFormat="1" ht="15">
      <c r="A70" s="54"/>
      <c r="B70" s="99"/>
      <c r="C70" s="72"/>
      <c r="D70" s="56"/>
      <c r="E70" s="99" t="s">
        <v>5</v>
      </c>
      <c r="F70" s="57"/>
      <c r="G70" s="58">
        <f>TRUNC(SUM(G67:G69),2)</f>
        <v>79.29</v>
      </c>
      <c r="H70" s="58"/>
      <c r="I70" s="59"/>
    </row>
    <row r="71" spans="1:10" s="96" customFormat="1" ht="28.5">
      <c r="A71" s="88" t="s">
        <v>93</v>
      </c>
      <c r="B71" s="89" t="s">
        <v>183</v>
      </c>
      <c r="C71" s="90" t="s">
        <v>184</v>
      </c>
      <c r="D71" s="91" t="s">
        <v>10</v>
      </c>
      <c r="E71" s="92">
        <v>2</v>
      </c>
      <c r="F71" s="93">
        <f>TRUNC(G79,2)</f>
        <v>10.89</v>
      </c>
      <c r="G71" s="94">
        <f>TRUNC(F71*1.2882,2)</f>
        <v>14.02</v>
      </c>
      <c r="H71" s="94">
        <f>TRUNC(F71*E71,2)</f>
        <v>21.78</v>
      </c>
      <c r="I71" s="95">
        <f>TRUNC(E71*G71,2)</f>
        <v>28.04</v>
      </c>
      <c r="J71" s="96">
        <v>8706.77</v>
      </c>
    </row>
    <row r="72" spans="1:9" s="60" customFormat="1" ht="42.75">
      <c r="A72" s="54"/>
      <c r="B72" s="55" t="s">
        <v>185</v>
      </c>
      <c r="C72" s="72" t="s">
        <v>186</v>
      </c>
      <c r="D72" s="56" t="s">
        <v>10</v>
      </c>
      <c r="E72" s="73">
        <v>1</v>
      </c>
      <c r="F72" s="57">
        <f>TRUNC(7.033268,2)</f>
        <v>7.03</v>
      </c>
      <c r="G72" s="58">
        <f aca="true" t="shared" si="1" ref="G72:G78">TRUNC(E72*F72,2)</f>
        <v>7.03</v>
      </c>
      <c r="H72" s="58"/>
      <c r="I72" s="59"/>
    </row>
    <row r="73" spans="1:9" s="86" customFormat="1" ht="15">
      <c r="A73" s="80"/>
      <c r="B73" s="81" t="s">
        <v>187</v>
      </c>
      <c r="C73" s="82" t="s">
        <v>188</v>
      </c>
      <c r="D73" s="83" t="s">
        <v>10</v>
      </c>
      <c r="E73" s="84">
        <v>0</v>
      </c>
      <c r="F73" s="85">
        <f>TRUNC(0.05,2)</f>
        <v>0.05</v>
      </c>
      <c r="G73" s="70">
        <f t="shared" si="1"/>
        <v>0</v>
      </c>
      <c r="H73" s="70"/>
      <c r="I73" s="71"/>
    </row>
    <row r="74" spans="1:9" s="60" customFormat="1" ht="14.25">
      <c r="A74" s="54"/>
      <c r="B74" s="55" t="s">
        <v>189</v>
      </c>
      <c r="C74" s="72" t="s">
        <v>190</v>
      </c>
      <c r="D74" s="56" t="s">
        <v>10</v>
      </c>
      <c r="E74" s="73">
        <v>1</v>
      </c>
      <c r="F74" s="57">
        <f>TRUNC(0.02,2)</f>
        <v>0.02</v>
      </c>
      <c r="G74" s="58">
        <f t="shared" si="1"/>
        <v>0.02</v>
      </c>
      <c r="H74" s="58"/>
      <c r="I74" s="59"/>
    </row>
    <row r="75" spans="1:9" s="86" customFormat="1" ht="15">
      <c r="A75" s="80"/>
      <c r="B75" s="81" t="s">
        <v>191</v>
      </c>
      <c r="C75" s="82" t="s">
        <v>192</v>
      </c>
      <c r="D75" s="83" t="s">
        <v>10</v>
      </c>
      <c r="E75" s="84">
        <v>0</v>
      </c>
      <c r="F75" s="85">
        <f>TRUNC(1.55,2)</f>
        <v>1.55</v>
      </c>
      <c r="G75" s="70">
        <f t="shared" si="1"/>
        <v>0</v>
      </c>
      <c r="H75" s="70"/>
      <c r="I75" s="71"/>
    </row>
    <row r="76" spans="1:9" s="60" customFormat="1" ht="28.5">
      <c r="A76" s="54"/>
      <c r="B76" s="55" t="s">
        <v>55</v>
      </c>
      <c r="C76" s="72" t="s">
        <v>56</v>
      </c>
      <c r="D76" s="56" t="s">
        <v>4</v>
      </c>
      <c r="E76" s="73">
        <v>0.28840000000000005</v>
      </c>
      <c r="F76" s="57">
        <f>TRUNC(18.77,2)</f>
        <v>18.77</v>
      </c>
      <c r="G76" s="58">
        <f t="shared" si="1"/>
        <v>5.41</v>
      </c>
      <c r="H76" s="58"/>
      <c r="I76" s="59"/>
    </row>
    <row r="77" spans="1:9" s="60" customFormat="1" ht="31.5">
      <c r="A77" s="54"/>
      <c r="B77" s="97" t="s">
        <v>193</v>
      </c>
      <c r="C77" s="98" t="s">
        <v>194</v>
      </c>
      <c r="D77" s="56" t="s">
        <v>10</v>
      </c>
      <c r="E77" s="73">
        <v>1</v>
      </c>
      <c r="F77" s="57">
        <v>1.72</v>
      </c>
      <c r="G77" s="58">
        <f t="shared" si="1"/>
        <v>1.72</v>
      </c>
      <c r="H77" s="58"/>
      <c r="I77" s="59"/>
    </row>
    <row r="78" spans="1:9" s="60" customFormat="1" ht="31.5">
      <c r="A78" s="54"/>
      <c r="B78" s="98" t="s">
        <v>195</v>
      </c>
      <c r="C78" s="98" t="s">
        <v>196</v>
      </c>
      <c r="D78" s="56" t="s">
        <v>10</v>
      </c>
      <c r="E78" s="73">
        <v>2</v>
      </c>
      <c r="F78" s="57">
        <v>1.87</v>
      </c>
      <c r="G78" s="58">
        <f t="shared" si="1"/>
        <v>3.74</v>
      </c>
      <c r="H78" s="58"/>
      <c r="I78" s="59"/>
    </row>
    <row r="79" spans="1:9" s="60" customFormat="1" ht="14.25">
      <c r="A79" s="54"/>
      <c r="B79" s="55"/>
      <c r="C79" s="72"/>
      <c r="D79" s="56"/>
      <c r="E79" s="73" t="s">
        <v>5</v>
      </c>
      <c r="F79" s="57"/>
      <c r="G79" s="58">
        <f>TRUNC(SUM(G73:G78),2)</f>
        <v>10.89</v>
      </c>
      <c r="H79" s="58"/>
      <c r="I79" s="59"/>
    </row>
    <row r="80" spans="1:9" s="96" customFormat="1" ht="99.75">
      <c r="A80" s="88" t="s">
        <v>197</v>
      </c>
      <c r="B80" s="89" t="s">
        <v>198</v>
      </c>
      <c r="C80" s="90" t="s">
        <v>199</v>
      </c>
      <c r="D80" s="91"/>
      <c r="E80" s="92">
        <v>2</v>
      </c>
      <c r="F80" s="93">
        <f>TRUNC(G91,2)</f>
        <v>3929.3</v>
      </c>
      <c r="G80" s="94">
        <f>TRUNC(F80*1.2882,2)</f>
        <v>5061.72</v>
      </c>
      <c r="H80" s="94">
        <f>TRUNC(F80*E80,2)</f>
        <v>7858.6</v>
      </c>
      <c r="I80" s="95">
        <f>TRUNC(E80*G80,2)</f>
        <v>10123.44</v>
      </c>
    </row>
    <row r="81" spans="1:9" s="60" customFormat="1" ht="15">
      <c r="A81" s="54"/>
      <c r="B81" s="99" t="s">
        <v>200</v>
      </c>
      <c r="C81" s="72" t="s">
        <v>206</v>
      </c>
      <c r="D81" s="56" t="s">
        <v>3</v>
      </c>
      <c r="E81" s="99">
        <v>52.44</v>
      </c>
      <c r="F81" s="57">
        <v>5.4889</v>
      </c>
      <c r="G81" s="58">
        <f aca="true" t="shared" si="2" ref="G81:G90">TRUNC(E81*F81,2)</f>
        <v>287.83</v>
      </c>
      <c r="H81" s="58"/>
      <c r="I81" s="59"/>
    </row>
    <row r="82" spans="1:9" s="60" customFormat="1" ht="15">
      <c r="A82" s="54"/>
      <c r="B82" s="99" t="s">
        <v>201</v>
      </c>
      <c r="C82" s="72" t="s">
        <v>207</v>
      </c>
      <c r="D82" s="56" t="s">
        <v>3</v>
      </c>
      <c r="E82" s="99">
        <v>4.3469999999999995</v>
      </c>
      <c r="F82" s="57">
        <v>5.8111</v>
      </c>
      <c r="G82" s="58">
        <f t="shared" si="2"/>
        <v>25.26</v>
      </c>
      <c r="H82" s="58"/>
      <c r="I82" s="59"/>
    </row>
    <row r="83" spans="1:9" s="60" customFormat="1" ht="15">
      <c r="A83" s="54"/>
      <c r="B83" s="99" t="s">
        <v>202</v>
      </c>
      <c r="C83" s="72" t="s">
        <v>208</v>
      </c>
      <c r="D83" s="56" t="s">
        <v>10</v>
      </c>
      <c r="E83" s="99">
        <v>1</v>
      </c>
      <c r="F83" s="57">
        <v>48.41</v>
      </c>
      <c r="G83" s="58">
        <f t="shared" si="2"/>
        <v>48.41</v>
      </c>
      <c r="H83" s="58"/>
      <c r="I83" s="59"/>
    </row>
    <row r="84" spans="1:9" s="60" customFormat="1" ht="15">
      <c r="A84" s="54"/>
      <c r="B84" s="99" t="s">
        <v>203</v>
      </c>
      <c r="C84" s="72" t="s">
        <v>209</v>
      </c>
      <c r="D84" s="56" t="s">
        <v>39</v>
      </c>
      <c r="E84" s="99">
        <v>0.57</v>
      </c>
      <c r="F84" s="57">
        <v>63.73</v>
      </c>
      <c r="G84" s="58">
        <f t="shared" si="2"/>
        <v>36.32</v>
      </c>
      <c r="H84" s="58"/>
      <c r="I84" s="59"/>
    </row>
    <row r="85" spans="1:9" s="60" customFormat="1" ht="15">
      <c r="A85" s="54"/>
      <c r="B85" s="99" t="s">
        <v>204</v>
      </c>
      <c r="C85" s="72" t="s">
        <v>210</v>
      </c>
      <c r="D85" s="56" t="s">
        <v>2</v>
      </c>
      <c r="E85" s="99">
        <v>62.099999999999994</v>
      </c>
      <c r="F85" s="57">
        <v>28.67</v>
      </c>
      <c r="G85" s="58">
        <f t="shared" si="2"/>
        <v>1780.4</v>
      </c>
      <c r="H85" s="58"/>
      <c r="I85" s="59"/>
    </row>
    <row r="86" spans="1:9" s="60" customFormat="1" ht="15">
      <c r="A86" s="54"/>
      <c r="B86" s="99" t="s">
        <v>205</v>
      </c>
      <c r="C86" s="72" t="s">
        <v>211</v>
      </c>
      <c r="D86" s="56" t="s">
        <v>2</v>
      </c>
      <c r="E86" s="99">
        <v>13.799999999999999</v>
      </c>
      <c r="F86" s="57">
        <v>81.64</v>
      </c>
      <c r="G86" s="58">
        <f t="shared" si="2"/>
        <v>1126.63</v>
      </c>
      <c r="H86" s="58"/>
      <c r="I86" s="59"/>
    </row>
    <row r="87" spans="1:9" s="60" customFormat="1" ht="15">
      <c r="A87" s="54"/>
      <c r="B87" s="99" t="s">
        <v>40</v>
      </c>
      <c r="C87" s="72" t="s">
        <v>62</v>
      </c>
      <c r="D87" s="56" t="s">
        <v>39</v>
      </c>
      <c r="E87" s="99">
        <v>0.95</v>
      </c>
      <c r="F87" s="57">
        <v>70.52</v>
      </c>
      <c r="G87" s="58">
        <f t="shared" si="2"/>
        <v>66.99</v>
      </c>
      <c r="H87" s="58"/>
      <c r="I87" s="59"/>
    </row>
    <row r="88" spans="1:9" s="60" customFormat="1" ht="28.5">
      <c r="A88" s="54"/>
      <c r="B88" s="99" t="s">
        <v>53</v>
      </c>
      <c r="C88" s="72" t="s">
        <v>54</v>
      </c>
      <c r="D88" s="56" t="s">
        <v>4</v>
      </c>
      <c r="E88" s="99">
        <v>12.36</v>
      </c>
      <c r="F88" s="57">
        <v>13.6</v>
      </c>
      <c r="G88" s="58">
        <f t="shared" si="2"/>
        <v>168.09</v>
      </c>
      <c r="H88" s="58"/>
      <c r="I88" s="59"/>
    </row>
    <row r="89" spans="1:9" s="60" customFormat="1" ht="28.5">
      <c r="A89" s="54"/>
      <c r="B89" s="99" t="s">
        <v>125</v>
      </c>
      <c r="C89" s="72" t="s">
        <v>126</v>
      </c>
      <c r="D89" s="56" t="s">
        <v>4</v>
      </c>
      <c r="E89" s="99">
        <v>12.36</v>
      </c>
      <c r="F89" s="57">
        <v>20.21</v>
      </c>
      <c r="G89" s="58">
        <f t="shared" si="2"/>
        <v>249.79</v>
      </c>
      <c r="H89" s="58"/>
      <c r="I89" s="59"/>
    </row>
    <row r="90" spans="1:9" s="60" customFormat="1" ht="15">
      <c r="A90" s="54"/>
      <c r="B90" s="99" t="s">
        <v>101</v>
      </c>
      <c r="C90" s="72" t="s">
        <v>102</v>
      </c>
      <c r="D90" s="56" t="s">
        <v>4</v>
      </c>
      <c r="E90" s="99">
        <v>7.4366</v>
      </c>
      <c r="F90" s="57">
        <v>18.77</v>
      </c>
      <c r="G90" s="58">
        <f t="shared" si="2"/>
        <v>139.58</v>
      </c>
      <c r="H90" s="58"/>
      <c r="I90" s="59"/>
    </row>
    <row r="91" spans="1:9" s="60" customFormat="1" ht="14.25">
      <c r="A91" s="54"/>
      <c r="B91" s="55"/>
      <c r="C91" s="72"/>
      <c r="D91" s="56"/>
      <c r="E91" s="73" t="s">
        <v>5</v>
      </c>
      <c r="F91" s="57"/>
      <c r="G91" s="58">
        <f>TRUNC(SUM(G81:G90),2)</f>
        <v>3929.3</v>
      </c>
      <c r="H91" s="58"/>
      <c r="I91" s="59"/>
    </row>
    <row r="92" spans="1:9" s="96" customFormat="1" ht="74.25">
      <c r="A92" s="88" t="s">
        <v>219</v>
      </c>
      <c r="B92" s="89" t="s">
        <v>212</v>
      </c>
      <c r="C92" s="90" t="s">
        <v>213</v>
      </c>
      <c r="D92" s="91" t="s">
        <v>214</v>
      </c>
      <c r="E92" s="92">
        <v>12</v>
      </c>
      <c r="F92" s="93">
        <f>TRUNC(G97,2)</f>
        <v>49.32</v>
      </c>
      <c r="G92" s="94">
        <f>TRUNC(F92*1.2882,2)</f>
        <v>63.53</v>
      </c>
      <c r="H92" s="94">
        <f>TRUNC(F92*E92,2)</f>
        <v>591.84</v>
      </c>
      <c r="I92" s="95">
        <f>TRUNC(E92*G92,2)</f>
        <v>762.36</v>
      </c>
    </row>
    <row r="93" spans="1:9" s="60" customFormat="1" ht="28.5">
      <c r="A93" s="54"/>
      <c r="B93" s="99" t="s">
        <v>215</v>
      </c>
      <c r="C93" s="72" t="s">
        <v>216</v>
      </c>
      <c r="D93" s="56"/>
      <c r="E93" s="99"/>
      <c r="F93" s="57"/>
      <c r="G93" s="58"/>
      <c r="H93" s="58"/>
      <c r="I93" s="59"/>
    </row>
    <row r="94" spans="1:9" s="60" customFormat="1" ht="15">
      <c r="A94" s="54"/>
      <c r="B94" s="99" t="s">
        <v>217</v>
      </c>
      <c r="C94" s="72" t="s">
        <v>218</v>
      </c>
      <c r="D94" s="56" t="s">
        <v>3</v>
      </c>
      <c r="E94" s="99">
        <v>2</v>
      </c>
      <c r="F94" s="57">
        <v>5.84</v>
      </c>
      <c r="G94" s="58">
        <f>TRUNC(E94*F94,2)</f>
        <v>11.68</v>
      </c>
      <c r="H94" s="58"/>
      <c r="I94" s="59"/>
    </row>
    <row r="95" spans="1:9" s="60" customFormat="1" ht="15">
      <c r="A95" s="54"/>
      <c r="B95" s="99" t="s">
        <v>103</v>
      </c>
      <c r="C95" s="72" t="s">
        <v>71</v>
      </c>
      <c r="D95" s="56" t="s">
        <v>4</v>
      </c>
      <c r="E95" s="99">
        <v>1.5</v>
      </c>
      <c r="F95" s="57">
        <f>TRUNC(20.11,2)</f>
        <v>20.11</v>
      </c>
      <c r="G95" s="58">
        <f>TRUNC(E95*F95,2)</f>
        <v>30.16</v>
      </c>
      <c r="H95" s="58"/>
      <c r="I95" s="59"/>
    </row>
    <row r="96" spans="1:9" s="60" customFormat="1" ht="28.5">
      <c r="A96" s="54"/>
      <c r="B96" s="99" t="s">
        <v>195</v>
      </c>
      <c r="C96" s="72" t="s">
        <v>196</v>
      </c>
      <c r="D96" s="56" t="s">
        <v>10</v>
      </c>
      <c r="E96" s="99">
        <v>4</v>
      </c>
      <c r="F96" s="57">
        <v>1.87</v>
      </c>
      <c r="G96" s="58">
        <f>TRUNC(E96*F96,2)</f>
        <v>7.48</v>
      </c>
      <c r="H96" s="58"/>
      <c r="I96" s="59"/>
    </row>
    <row r="97" spans="1:9" s="60" customFormat="1" ht="15">
      <c r="A97" s="54"/>
      <c r="B97" s="99"/>
      <c r="C97" s="72"/>
      <c r="D97" s="56"/>
      <c r="E97" s="99" t="s">
        <v>5</v>
      </c>
      <c r="F97" s="57"/>
      <c r="G97" s="58">
        <f>TRUNC(SUM(G94:G96),2)</f>
        <v>49.32</v>
      </c>
      <c r="H97" s="58"/>
      <c r="I97" s="59"/>
    </row>
    <row r="98" spans="1:10" s="40" customFormat="1" ht="15.75">
      <c r="A98" s="48" t="s">
        <v>42</v>
      </c>
      <c r="B98" s="50"/>
      <c r="C98" s="49"/>
      <c r="D98" s="50"/>
      <c r="E98" s="50"/>
      <c r="F98" s="50"/>
      <c r="G98" s="50" t="s">
        <v>76</v>
      </c>
      <c r="H98" s="51">
        <f>H57+H71+H66+H80+H92</f>
        <v>85671.43</v>
      </c>
      <c r="I98" s="51">
        <f>I57+I71+I66+I80+I92</f>
        <v>110358.77</v>
      </c>
      <c r="J98" s="40">
        <v>97655.31</v>
      </c>
    </row>
    <row r="99" spans="1:9" s="39" customFormat="1" ht="15.75">
      <c r="A99" s="39" t="s">
        <v>15</v>
      </c>
      <c r="B99" s="46"/>
      <c r="C99" s="47" t="s">
        <v>17</v>
      </c>
      <c r="D99" s="47"/>
      <c r="E99" s="47"/>
      <c r="F99" s="47"/>
      <c r="G99" s="47"/>
      <c r="H99" s="47"/>
      <c r="I99" s="45"/>
    </row>
    <row r="100" spans="1:10" s="96" customFormat="1" ht="71.25">
      <c r="A100" s="88" t="s">
        <v>44</v>
      </c>
      <c r="B100" s="89" t="s">
        <v>59</v>
      </c>
      <c r="C100" s="90" t="s">
        <v>75</v>
      </c>
      <c r="D100" s="91" t="s">
        <v>0</v>
      </c>
      <c r="E100" s="92">
        <v>650.7</v>
      </c>
      <c r="F100" s="93">
        <f>TRUNC(G106,2)</f>
        <v>16.47</v>
      </c>
      <c r="G100" s="94">
        <f>TRUNC(F100*1.2882,2)</f>
        <v>21.21</v>
      </c>
      <c r="H100" s="94">
        <f>TRUNC(F100*E100,2)</f>
        <v>10717.02</v>
      </c>
      <c r="I100" s="95">
        <f>TRUNC(E100*G100,2)</f>
        <v>13801.34</v>
      </c>
      <c r="J100" s="96">
        <v>24817.4</v>
      </c>
    </row>
    <row r="101" spans="2:9" s="61" customFormat="1" ht="15">
      <c r="B101" s="102" t="s">
        <v>48</v>
      </c>
      <c r="C101" s="101" t="s">
        <v>60</v>
      </c>
      <c r="D101" s="61" t="s">
        <v>39</v>
      </c>
      <c r="E101" s="100">
        <v>0.035</v>
      </c>
      <c r="F101" s="62">
        <f>TRUNC(170.89,2)</f>
        <v>170.89</v>
      </c>
      <c r="G101" s="58">
        <f>TRUNC(E101*F101,2)</f>
        <v>5.98</v>
      </c>
      <c r="H101" s="58"/>
      <c r="I101" s="59"/>
    </row>
    <row r="102" spans="2:9" s="61" customFormat="1" ht="15">
      <c r="B102" s="102" t="s">
        <v>49</v>
      </c>
      <c r="C102" s="101" t="s">
        <v>61</v>
      </c>
      <c r="D102" s="61" t="s">
        <v>3</v>
      </c>
      <c r="E102" s="100">
        <v>0.025</v>
      </c>
      <c r="F102" s="62">
        <f>TRUNC(15.66,2)</f>
        <v>15.66</v>
      </c>
      <c r="G102" s="58">
        <f>TRUNC(E102*F102,2)</f>
        <v>0.39</v>
      </c>
      <c r="H102" s="58"/>
      <c r="I102" s="59"/>
    </row>
    <row r="103" spans="2:9" s="61" customFormat="1" ht="14.25">
      <c r="B103" s="87" t="s">
        <v>40</v>
      </c>
      <c r="C103" s="61" t="s">
        <v>62</v>
      </c>
      <c r="D103" s="61" t="s">
        <v>39</v>
      </c>
      <c r="E103" s="61">
        <v>0.05</v>
      </c>
      <c r="F103" s="62">
        <f>TRUNC(70.52,2)</f>
        <v>70.52</v>
      </c>
      <c r="G103" s="58">
        <f>TRUNC(E103*F103,2)</f>
        <v>3.52</v>
      </c>
      <c r="H103" s="58"/>
      <c r="I103" s="59"/>
    </row>
    <row r="104" spans="2:9" s="61" customFormat="1" ht="30">
      <c r="B104" s="102" t="s">
        <v>53</v>
      </c>
      <c r="C104" s="101" t="s">
        <v>54</v>
      </c>
      <c r="D104" s="61" t="s">
        <v>4</v>
      </c>
      <c r="E104" s="100">
        <v>0.12875</v>
      </c>
      <c r="F104" s="62">
        <f>TRUNC(13.6,2)</f>
        <v>13.6</v>
      </c>
      <c r="G104" s="58">
        <f>TRUNC(E104*F104,2)</f>
        <v>1.75</v>
      </c>
      <c r="H104" s="58"/>
      <c r="I104" s="59"/>
    </row>
    <row r="105" spans="2:9" s="61" customFormat="1" ht="15">
      <c r="B105" s="102" t="s">
        <v>101</v>
      </c>
      <c r="C105" s="101" t="s">
        <v>102</v>
      </c>
      <c r="D105" s="61" t="s">
        <v>4</v>
      </c>
      <c r="E105" s="100">
        <v>0.2575</v>
      </c>
      <c r="F105" s="62">
        <f>TRUNC(18.77,2)</f>
        <v>18.77</v>
      </c>
      <c r="G105" s="58">
        <f>TRUNC(E105*F105,2)</f>
        <v>4.83</v>
      </c>
      <c r="H105" s="58"/>
      <c r="I105" s="59"/>
    </row>
    <row r="106" spans="2:9" s="61" customFormat="1" ht="14.25">
      <c r="B106" s="87"/>
      <c r="E106" s="61" t="s">
        <v>5</v>
      </c>
      <c r="F106" s="62"/>
      <c r="G106" s="58">
        <f>TRUNC(SUM(G101:G105),2)</f>
        <v>16.47</v>
      </c>
      <c r="H106" s="58"/>
      <c r="I106" s="59"/>
    </row>
    <row r="107" spans="1:10" s="40" customFormat="1" ht="15.75">
      <c r="A107" s="48" t="s">
        <v>42</v>
      </c>
      <c r="B107" s="50"/>
      <c r="C107" s="49"/>
      <c r="D107" s="50"/>
      <c r="E107" s="50"/>
      <c r="F107" s="50"/>
      <c r="G107" s="50" t="s">
        <v>45</v>
      </c>
      <c r="H107" s="53">
        <f>H100</f>
        <v>10717.02</v>
      </c>
      <c r="I107" s="53">
        <f>I100</f>
        <v>13801.34</v>
      </c>
      <c r="J107" s="40">
        <v>36359.659999999996</v>
      </c>
    </row>
    <row r="108" spans="1:9" s="39" customFormat="1" ht="15.75">
      <c r="A108" s="39" t="s">
        <v>16</v>
      </c>
      <c r="B108" s="46"/>
      <c r="C108" s="47" t="s">
        <v>34</v>
      </c>
      <c r="D108" s="47"/>
      <c r="E108" s="47"/>
      <c r="F108" s="47"/>
      <c r="G108" s="47"/>
      <c r="H108" s="47"/>
      <c r="I108" s="45"/>
    </row>
    <row r="109" spans="1:9" s="96" customFormat="1" ht="42.75">
      <c r="A109" s="88" t="s">
        <v>11</v>
      </c>
      <c r="B109" s="89" t="s">
        <v>252</v>
      </c>
      <c r="C109" s="90" t="s">
        <v>253</v>
      </c>
      <c r="D109" s="91" t="s">
        <v>1</v>
      </c>
      <c r="E109" s="92">
        <v>39.63</v>
      </c>
      <c r="F109" s="93">
        <f>TRUNC(G111,2)</f>
        <v>19.61</v>
      </c>
      <c r="G109" s="94">
        <f>TRUNC(F109*1.2882,2)</f>
        <v>25.26</v>
      </c>
      <c r="H109" s="94">
        <f>TRUNC(F109*E109,2)</f>
        <v>777.14</v>
      </c>
      <c r="I109" s="95">
        <f>TRUNC(E109*G109,2)</f>
        <v>1001.05</v>
      </c>
    </row>
    <row r="110" spans="2:9" s="61" customFormat="1" ht="28.5">
      <c r="B110" s="87" t="s">
        <v>53</v>
      </c>
      <c r="C110" s="61" t="s">
        <v>54</v>
      </c>
      <c r="D110" s="61" t="s">
        <v>4</v>
      </c>
      <c r="E110" s="61">
        <v>1.442</v>
      </c>
      <c r="F110" s="62">
        <f>TRUNC(13.6,2)</f>
        <v>13.6</v>
      </c>
      <c r="G110" s="58">
        <f>TRUNC(E110*F110,2)</f>
        <v>19.61</v>
      </c>
      <c r="H110" s="58"/>
      <c r="I110" s="59"/>
    </row>
    <row r="111" spans="2:9" s="61" customFormat="1" ht="14.25">
      <c r="B111" s="87"/>
      <c r="E111" s="61" t="s">
        <v>5</v>
      </c>
      <c r="F111" s="62"/>
      <c r="G111" s="58">
        <f>TRUNC(SUM(G110:G110),2)</f>
        <v>19.61</v>
      </c>
      <c r="H111" s="58"/>
      <c r="I111" s="59"/>
    </row>
    <row r="112" spans="1:12" s="96" customFormat="1" ht="71.25">
      <c r="A112" s="88" t="s">
        <v>12</v>
      </c>
      <c r="B112" s="89" t="s">
        <v>220</v>
      </c>
      <c r="C112" s="90" t="s">
        <v>94</v>
      </c>
      <c r="D112" s="91" t="s">
        <v>10</v>
      </c>
      <c r="E112" s="92">
        <v>8</v>
      </c>
      <c r="F112" s="93">
        <f>TRUNC(G115,2)</f>
        <v>238.4</v>
      </c>
      <c r="G112" s="94">
        <f>TRUNC(F112*1.2882,2)</f>
        <v>307.1</v>
      </c>
      <c r="H112" s="94">
        <f>TRUNC(F112*E112,2)</f>
        <v>1907.2</v>
      </c>
      <c r="I112" s="95">
        <f>TRUNC(E112*G112,2)</f>
        <v>2456.8</v>
      </c>
      <c r="J112" s="96">
        <v>2905.3</v>
      </c>
      <c r="L112" s="96">
        <f>40/5</f>
        <v>8</v>
      </c>
    </row>
    <row r="113" spans="2:9" s="61" customFormat="1" ht="30">
      <c r="B113" s="102" t="s">
        <v>53</v>
      </c>
      <c r="C113" s="101" t="s">
        <v>54</v>
      </c>
      <c r="D113" s="61" t="s">
        <v>4</v>
      </c>
      <c r="E113" s="100">
        <v>0.618</v>
      </c>
      <c r="F113" s="62">
        <f>TRUNC(13.6,2)</f>
        <v>13.6</v>
      </c>
      <c r="G113" s="58">
        <f>TRUNC(E113*F113,2)</f>
        <v>8.4</v>
      </c>
      <c r="H113" s="58"/>
      <c r="I113" s="59"/>
    </row>
    <row r="114" spans="2:9" s="61" customFormat="1" ht="30">
      <c r="B114" s="102" t="s">
        <v>95</v>
      </c>
      <c r="C114" s="101" t="s">
        <v>117</v>
      </c>
      <c r="D114" s="61" t="s">
        <v>10</v>
      </c>
      <c r="E114" s="100">
        <v>1</v>
      </c>
      <c r="F114" s="62">
        <f>TRUNC(230,2)</f>
        <v>230</v>
      </c>
      <c r="G114" s="58">
        <f>TRUNC(E114*F114,2)</f>
        <v>230</v>
      </c>
      <c r="H114" s="58"/>
      <c r="I114" s="59"/>
    </row>
    <row r="115" spans="2:9" s="61" customFormat="1" ht="14.25">
      <c r="B115" s="87"/>
      <c r="E115" s="61" t="s">
        <v>5</v>
      </c>
      <c r="F115" s="62"/>
      <c r="G115" s="58">
        <f>TRUNC(SUM(G113:G114),2)</f>
        <v>238.4</v>
      </c>
      <c r="H115" s="58"/>
      <c r="I115" s="59"/>
    </row>
    <row r="116" spans="1:10" s="40" customFormat="1" ht="15.75">
      <c r="A116" s="74" t="s">
        <v>42</v>
      </c>
      <c r="B116" s="75"/>
      <c r="C116" s="76"/>
      <c r="D116" s="75"/>
      <c r="E116" s="75"/>
      <c r="F116" s="75" t="s">
        <v>47</v>
      </c>
      <c r="G116" s="75"/>
      <c r="H116" s="77">
        <f>H112+H109</f>
        <v>2684.34</v>
      </c>
      <c r="I116" s="77">
        <f>I112+I109</f>
        <v>3457.8500000000004</v>
      </c>
      <c r="J116" s="40">
        <v>40123.57</v>
      </c>
    </row>
    <row r="117" spans="1:10" s="40" customFormat="1" ht="15.75">
      <c r="A117" s="48" t="s">
        <v>42</v>
      </c>
      <c r="B117" s="50"/>
      <c r="C117" s="49"/>
      <c r="D117" s="50"/>
      <c r="E117" s="50"/>
      <c r="F117" s="50" t="s">
        <v>50</v>
      </c>
      <c r="G117" s="50"/>
      <c r="H117" s="52">
        <f>H116+H107+H98+H55</f>
        <v>140262.44</v>
      </c>
      <c r="I117" s="52">
        <f>I116+I107+I98+I55</f>
        <v>180676.13</v>
      </c>
      <c r="J117" s="40">
        <v>206469.65999999997</v>
      </c>
    </row>
    <row r="118" spans="1:9" s="40" customFormat="1" ht="15.75">
      <c r="A118" s="48"/>
      <c r="B118" s="50"/>
      <c r="C118" s="49"/>
      <c r="D118" s="50"/>
      <c r="E118" s="50"/>
      <c r="F118" s="50"/>
      <c r="G118" s="50"/>
      <c r="H118" s="51"/>
      <c r="I118" s="52"/>
    </row>
  </sheetData>
  <sheetProtection/>
  <mergeCells count="14">
    <mergeCell ref="D2:G2"/>
    <mergeCell ref="D3:G3"/>
    <mergeCell ref="D4:G4"/>
    <mergeCell ref="D5:G5"/>
    <mergeCell ref="D6:G6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39" r:id="rId2"/>
  <headerFooter>
    <oddFooter>&amp;C&amp;A&amp;RPágina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Patrick Araujo Suckow de Barros</cp:lastModifiedBy>
  <cp:lastPrinted>2020-11-13T15:03:27Z</cp:lastPrinted>
  <dcterms:created xsi:type="dcterms:W3CDTF">2017-11-22T13:14:51Z</dcterms:created>
  <dcterms:modified xsi:type="dcterms:W3CDTF">2020-11-13T15:06:53Z</dcterms:modified>
  <cp:category/>
  <cp:version/>
  <cp:contentType/>
  <cp:contentStatus/>
</cp:coreProperties>
</file>